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Clas Obj Gasto 2021" sheetId="1" r:id="rId1"/>
  </sheets>
  <calcPr calcId="152511"/>
</workbook>
</file>

<file path=xl/calcChain.xml><?xml version="1.0" encoding="utf-8"?>
<calcChain xmlns="http://schemas.openxmlformats.org/spreadsheetml/2006/main">
  <c r="D45" i="1" l="1"/>
  <c r="G73" i="1" l="1"/>
  <c r="F73" i="1"/>
  <c r="D73" i="1"/>
  <c r="E73" i="1" s="1"/>
  <c r="H73" i="1" s="1"/>
  <c r="C73" i="1"/>
  <c r="G72" i="1"/>
  <c r="F72" i="1"/>
  <c r="D72" i="1"/>
  <c r="C72" i="1"/>
  <c r="D71" i="1"/>
  <c r="C71" i="1"/>
  <c r="G70" i="1"/>
  <c r="F70" i="1"/>
  <c r="D70" i="1"/>
  <c r="E70" i="1" s="1"/>
  <c r="H70" i="1" s="1"/>
  <c r="C70" i="1"/>
  <c r="G69" i="1"/>
  <c r="F69" i="1"/>
  <c r="D69" i="1"/>
  <c r="C69" i="1"/>
  <c r="G68" i="1"/>
  <c r="F68" i="1"/>
  <c r="D68" i="1"/>
  <c r="D67" i="1" s="1"/>
  <c r="C68" i="1"/>
  <c r="G67" i="1"/>
  <c r="F67" i="1"/>
  <c r="C67" i="1"/>
  <c r="G66" i="1"/>
  <c r="F66" i="1"/>
  <c r="D66" i="1"/>
  <c r="E66" i="1" s="1"/>
  <c r="G65" i="1"/>
  <c r="F65" i="1"/>
  <c r="D65" i="1"/>
  <c r="C65" i="1"/>
  <c r="E65" i="1" s="1"/>
  <c r="H65" i="1" s="1"/>
  <c r="G64" i="1"/>
  <c r="F64" i="1"/>
  <c r="D64" i="1"/>
  <c r="D63" i="1" s="1"/>
  <c r="C64" i="1"/>
  <c r="E64" i="1" s="1"/>
  <c r="G62" i="1"/>
  <c r="G61" i="1" s="1"/>
  <c r="F62" i="1"/>
  <c r="F61" i="1" s="1"/>
  <c r="D62" i="1"/>
  <c r="C62" i="1"/>
  <c r="E62" i="1" s="1"/>
  <c r="E61" i="1" s="1"/>
  <c r="H61" i="1"/>
  <c r="D61" i="1"/>
  <c r="G60" i="1"/>
  <c r="F60" i="1"/>
  <c r="D60" i="1"/>
  <c r="C60" i="1"/>
  <c r="E60" i="1" s="1"/>
  <c r="H60" i="1" s="1"/>
  <c r="G59" i="1"/>
  <c r="F59" i="1"/>
  <c r="D59" i="1"/>
  <c r="C59" i="1"/>
  <c r="G58" i="1"/>
  <c r="G57" i="1" s="1"/>
  <c r="F58" i="1"/>
  <c r="F57" i="1" s="1"/>
  <c r="D58" i="1"/>
  <c r="C58" i="1"/>
  <c r="E58" i="1" s="1"/>
  <c r="D57" i="1"/>
  <c r="F56" i="1"/>
  <c r="D56" i="1"/>
  <c r="E56" i="1" s="1"/>
  <c r="H56" i="1" s="1"/>
  <c r="C55" i="1"/>
  <c r="E55" i="1" s="1"/>
  <c r="H55" i="1" s="1"/>
  <c r="G54" i="1"/>
  <c r="F54" i="1"/>
  <c r="D54" i="1"/>
  <c r="C54" i="1"/>
  <c r="E54" i="1" s="1"/>
  <c r="H54" i="1" s="1"/>
  <c r="E53" i="1"/>
  <c r="H53" i="1" s="1"/>
  <c r="F52" i="1"/>
  <c r="D52" i="1"/>
  <c r="C52" i="1"/>
  <c r="F51" i="1"/>
  <c r="D51" i="1"/>
  <c r="C51" i="1"/>
  <c r="E51" i="1" s="1"/>
  <c r="H51" i="1" s="1"/>
  <c r="G50" i="1"/>
  <c r="F50" i="1"/>
  <c r="D50" i="1"/>
  <c r="C50" i="1"/>
  <c r="E50" i="1" s="1"/>
  <c r="H50" i="1" s="1"/>
  <c r="G49" i="1"/>
  <c r="F49" i="1"/>
  <c r="F48" i="1" s="1"/>
  <c r="D49" i="1"/>
  <c r="C49" i="1"/>
  <c r="E49" i="1" s="1"/>
  <c r="G48" i="1"/>
  <c r="E47" i="1"/>
  <c r="H47" i="1" s="1"/>
  <c r="C47" i="1"/>
  <c r="G46" i="1"/>
  <c r="F46" i="1"/>
  <c r="D46" i="1"/>
  <c r="E46" i="1" s="1"/>
  <c r="H46" i="1" s="1"/>
  <c r="C46" i="1"/>
  <c r="G45" i="1"/>
  <c r="F45" i="1"/>
  <c r="C45" i="1"/>
  <c r="E45" i="1" s="1"/>
  <c r="H45" i="1" s="1"/>
  <c r="G44" i="1"/>
  <c r="F44" i="1"/>
  <c r="D44" i="1"/>
  <c r="C44" i="1"/>
  <c r="G43" i="1"/>
  <c r="F43" i="1"/>
  <c r="D43" i="1"/>
  <c r="C43" i="1"/>
  <c r="E43" i="1" s="1"/>
  <c r="H43" i="1" s="1"/>
  <c r="G42" i="1"/>
  <c r="F42" i="1"/>
  <c r="D42" i="1"/>
  <c r="C42" i="1"/>
  <c r="D41" i="1"/>
  <c r="C41" i="1"/>
  <c r="G40" i="1"/>
  <c r="F40" i="1"/>
  <c r="F39" i="1" s="1"/>
  <c r="D40" i="1"/>
  <c r="C40" i="1"/>
  <c r="E40" i="1" s="1"/>
  <c r="G38" i="1"/>
  <c r="F38" i="1"/>
  <c r="D38" i="1"/>
  <c r="C38" i="1"/>
  <c r="G37" i="1"/>
  <c r="F37" i="1"/>
  <c r="D37" i="1"/>
  <c r="E37" i="1" s="1"/>
  <c r="H37" i="1" s="1"/>
  <c r="C37" i="1"/>
  <c r="G36" i="1"/>
  <c r="F36" i="1"/>
  <c r="D36" i="1"/>
  <c r="C36" i="1"/>
  <c r="G35" i="1"/>
  <c r="F35" i="1"/>
  <c r="D35" i="1"/>
  <c r="E35" i="1" s="1"/>
  <c r="H35" i="1" s="1"/>
  <c r="C35" i="1"/>
  <c r="G34" i="1"/>
  <c r="F34" i="1"/>
  <c r="D34" i="1"/>
  <c r="C34" i="1"/>
  <c r="G33" i="1"/>
  <c r="F33" i="1"/>
  <c r="D33" i="1"/>
  <c r="E33" i="1" s="1"/>
  <c r="H33" i="1" s="1"/>
  <c r="C33" i="1"/>
  <c r="G32" i="1"/>
  <c r="F32" i="1"/>
  <c r="D32" i="1"/>
  <c r="C32" i="1"/>
  <c r="G31" i="1"/>
  <c r="F31" i="1"/>
  <c r="D31" i="1"/>
  <c r="E31" i="1" s="1"/>
  <c r="H31" i="1" s="1"/>
  <c r="C31" i="1"/>
  <c r="G30" i="1"/>
  <c r="G29" i="1" s="1"/>
  <c r="F30" i="1"/>
  <c r="F29" i="1" s="1"/>
  <c r="D30" i="1"/>
  <c r="C30" i="1"/>
  <c r="D29" i="1"/>
  <c r="G28" i="1"/>
  <c r="F28" i="1"/>
  <c r="D28" i="1"/>
  <c r="C28" i="1"/>
  <c r="E28" i="1" s="1"/>
  <c r="H28" i="1" s="1"/>
  <c r="G27" i="1"/>
  <c r="F27" i="1"/>
  <c r="D27" i="1"/>
  <c r="C27" i="1"/>
  <c r="G26" i="1"/>
  <c r="F26" i="1"/>
  <c r="D26" i="1"/>
  <c r="C26" i="1"/>
  <c r="E26" i="1" s="1"/>
  <c r="H26" i="1" s="1"/>
  <c r="G25" i="1"/>
  <c r="F25" i="1"/>
  <c r="D25" i="1"/>
  <c r="C25" i="1"/>
  <c r="G24" i="1"/>
  <c r="F24" i="1"/>
  <c r="D24" i="1"/>
  <c r="C24" i="1"/>
  <c r="E24" i="1" s="1"/>
  <c r="H24" i="1" s="1"/>
  <c r="G23" i="1"/>
  <c r="F23" i="1"/>
  <c r="D23" i="1"/>
  <c r="C23" i="1"/>
  <c r="G22" i="1"/>
  <c r="F22" i="1"/>
  <c r="D22" i="1"/>
  <c r="C22" i="1"/>
  <c r="E22" i="1" s="1"/>
  <c r="H22" i="1" s="1"/>
  <c r="G21" i="1"/>
  <c r="F21" i="1"/>
  <c r="D21" i="1"/>
  <c r="C21" i="1"/>
  <c r="G20" i="1"/>
  <c r="G19" i="1" s="1"/>
  <c r="F20" i="1"/>
  <c r="F19" i="1" s="1"/>
  <c r="D20" i="1"/>
  <c r="C20" i="1"/>
  <c r="E20" i="1" s="1"/>
  <c r="D19" i="1"/>
  <c r="G18" i="1"/>
  <c r="F18" i="1"/>
  <c r="D18" i="1"/>
  <c r="C18" i="1"/>
  <c r="H17" i="1"/>
  <c r="E17" i="1"/>
  <c r="G16" i="1"/>
  <c r="F16" i="1"/>
  <c r="D16" i="1"/>
  <c r="C16" i="1"/>
  <c r="G15" i="1"/>
  <c r="F15" i="1"/>
  <c r="D15" i="1"/>
  <c r="E15" i="1" s="1"/>
  <c r="H15" i="1" s="1"/>
  <c r="C15" i="1"/>
  <c r="G14" i="1"/>
  <c r="F14" i="1"/>
  <c r="D14" i="1"/>
  <c r="C14" i="1"/>
  <c r="G13" i="1"/>
  <c r="F13" i="1"/>
  <c r="D13" i="1"/>
  <c r="E13" i="1" s="1"/>
  <c r="H13" i="1" s="1"/>
  <c r="C13" i="1"/>
  <c r="G12" i="1"/>
  <c r="G11" i="1" s="1"/>
  <c r="F12" i="1"/>
  <c r="F11" i="1" s="1"/>
  <c r="D12" i="1"/>
  <c r="C12" i="1"/>
  <c r="F63" i="1" l="1"/>
  <c r="E12" i="1"/>
  <c r="F74" i="1"/>
  <c r="E14" i="1"/>
  <c r="H14" i="1" s="1"/>
  <c r="E16" i="1"/>
  <c r="H16" i="1" s="1"/>
  <c r="E18" i="1"/>
  <c r="H18" i="1" s="1"/>
  <c r="E21" i="1"/>
  <c r="H21" i="1" s="1"/>
  <c r="E23" i="1"/>
  <c r="H23" i="1" s="1"/>
  <c r="E25" i="1"/>
  <c r="H25" i="1" s="1"/>
  <c r="E27" i="1"/>
  <c r="H27" i="1" s="1"/>
  <c r="E30" i="1"/>
  <c r="E29" i="1" s="1"/>
  <c r="E32" i="1"/>
  <c r="H32" i="1" s="1"/>
  <c r="E34" i="1"/>
  <c r="H34" i="1" s="1"/>
  <c r="E36" i="1"/>
  <c r="H36" i="1" s="1"/>
  <c r="E38" i="1"/>
  <c r="H38" i="1" s="1"/>
  <c r="D39" i="1"/>
  <c r="G39" i="1"/>
  <c r="E41" i="1"/>
  <c r="H41" i="1" s="1"/>
  <c r="E42" i="1"/>
  <c r="H42" i="1" s="1"/>
  <c r="E44" i="1"/>
  <c r="H44" i="1" s="1"/>
  <c r="C48" i="1"/>
  <c r="E52" i="1"/>
  <c r="H52" i="1" s="1"/>
  <c r="E59" i="1"/>
  <c r="H59" i="1" s="1"/>
  <c r="G63" i="1"/>
  <c r="H66" i="1"/>
  <c r="E69" i="1"/>
  <c r="H69" i="1" s="1"/>
  <c r="E71" i="1"/>
  <c r="H71" i="1" s="1"/>
  <c r="E72" i="1"/>
  <c r="H72" i="1" s="1"/>
  <c r="G74" i="1"/>
  <c r="H20" i="1"/>
  <c r="H19" i="1" s="1"/>
  <c r="H12" i="1"/>
  <c r="H11" i="1" s="1"/>
  <c r="H30" i="1"/>
  <c r="H29" i="1" s="1"/>
  <c r="H64" i="1"/>
  <c r="E63" i="1"/>
  <c r="H40" i="1"/>
  <c r="E39" i="1"/>
  <c r="E48" i="1"/>
  <c r="H58" i="1"/>
  <c r="H57" i="1" s="1"/>
  <c r="C11" i="1"/>
  <c r="C19" i="1"/>
  <c r="C29" i="1"/>
  <c r="C39" i="1"/>
  <c r="H49" i="1"/>
  <c r="H48" i="1" s="1"/>
  <c r="C57" i="1"/>
  <c r="C61" i="1"/>
  <c r="D11" i="1"/>
  <c r="D48" i="1"/>
  <c r="E68" i="1"/>
  <c r="C63" i="1"/>
  <c r="C74" i="1" l="1"/>
  <c r="E57" i="1"/>
  <c r="H39" i="1"/>
  <c r="H63" i="1"/>
  <c r="E11" i="1"/>
  <c r="E74" i="1" s="1"/>
  <c r="E19" i="1"/>
  <c r="D74" i="1"/>
  <c r="H68" i="1"/>
  <c r="H67" i="1" s="1"/>
  <c r="E67" i="1"/>
  <c r="H74" i="1" l="1"/>
</calcChain>
</file>

<file path=xl/sharedStrings.xml><?xml version="1.0" encoding="utf-8"?>
<sst xmlns="http://schemas.openxmlformats.org/spreadsheetml/2006/main" count="79" uniqueCount="79">
  <si>
    <t>Sector Central del Poder Ejecutivo del Gobierno del Estado de México</t>
  </si>
  <si>
    <t>Estado Analítico del Ejercicio del Presupuesto de Egresos del Sector Central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</si>
  <si>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</si>
  <si>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</si>
  <si>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</si>
  <si>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</si>
  <si>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</si>
  <si>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</si>
  <si>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</si>
  <si>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</si>
  <si>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</si>
  <si>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</si>
  <si>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</si>
  <si>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</si>
  <si>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</si>
  <si>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</si>
  <si>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</si>
  <si>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</si>
  <si>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</si>
  <si>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</si>
  <si>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</si>
  <si>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</si>
  <si>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</si>
  <si>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</si>
  <si>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</si>
  <si>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</si>
  <si>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</si>
  <si>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</si>
  <si>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</si>
  <si>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</si>
  <si>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</si>
  <si>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</si>
  <si>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</si>
  <si>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</si>
  <si>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</si>
  <si>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</si>
  <si>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</si>
  <si>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</si>
  <si>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</si>
  <si>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</si>
  <si>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</si>
  <si>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</si>
  <si>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</si>
  <si>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</si>
  <si>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</si>
  <si>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</si>
  <si>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</si>
  <si>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</si>
  <si>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</si>
  <si>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Donativos</t>
  </si>
  <si>
    <t>Transferencias al Exterior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</si>
  <si>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</si>
  <si>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</si>
  <si>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</si>
  <si>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</si>
  <si>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</si>
  <si>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</si>
  <si>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</si>
  <si>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</si>
  <si>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</si>
  <si>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</si>
  <si>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</si>
  <si>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</si>
  <si>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</si>
  <si>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</si>
  <si>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</si>
  <si>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</si>
  <si>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Participaciones</t>
  </si>
  <si>
    <t>Aportaciones</t>
  </si>
  <si>
    <t>Convenios</t>
  </si>
  <si>
    <t>DEUDA PÚBLICA.</t>
  </si>
  <si>
    <t>Amortización de la Deuda Pública</t>
  </si>
  <si>
    <t>Intereses de la Deuda Pública</t>
  </si>
  <si>
    <t>Comisiones de la Deuda Pública</t>
  </si>
  <si>
    <t>Gastos de la Deuda Pública</t>
  </si>
  <si>
    <t>Costo de Coberturas</t>
  </si>
  <si>
    <t>Adeudos de Ejercicios Fiscales Anteriores (ADEFAS)</t>
  </si>
  <si>
    <t>Totales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</si>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</sst>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#,##0.0"/>
    <numFmt numFmtId="166" formatCode="General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2" fillId="0" borderId="0"/>
    <xf numFmtId="0" fontId="2" fillId="0" borderId="0"/>
  </cellStyleXfs>
  <cellXfs count="39">
    <xf numFmtId="0" fontId="0" fillId="0" borderId="0" xfId="0"/>
    <xf numFmtId="164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4" fillId="0" borderId="0" xfId="0" applyNumberFormat="1" applyFont="1"/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wrapText="1"/>
    </xf>
    <xf numFmtId="37" fontId="3" fillId="0" borderId="8" xfId="1" applyNumberFormat="1" applyFont="1" applyFill="1" applyBorder="1" applyAlignment="1" applyProtection="1">
      <alignment horizontal="center" vertical="center" wrapText="1"/>
    </xf>
    <xf numFmtId="37" fontId="3" fillId="0" borderId="5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4" fillId="0" borderId="0" xfId="0" applyNumberFormat="1" applyFont="1"/>
    <xf numFmtId="0" fontId="4" fillId="0" borderId="6" xfId="0" applyFont="1" applyBorder="1"/>
    <xf numFmtId="165" fontId="4" fillId="0" borderId="0" xfId="0" applyNumberFormat="1" applyFont="1" applyBorder="1"/>
    <xf numFmtId="165" fontId="4" fillId="0" borderId="11" xfId="0" applyNumberFormat="1" applyFont="1" applyBorder="1"/>
    <xf numFmtId="0" fontId="3" fillId="0" borderId="6" xfId="0" applyFont="1" applyFill="1" applyBorder="1"/>
    <xf numFmtId="165" fontId="3" fillId="0" borderId="0" xfId="0" applyNumberFormat="1" applyFont="1" applyBorder="1"/>
    <xf numFmtId="165" fontId="3" fillId="0" borderId="11" xfId="0" applyNumberFormat="1" applyFont="1" applyBorder="1"/>
    <xf numFmtId="165" fontId="4" fillId="0" borderId="0" xfId="0" applyNumberFormat="1" applyFont="1" applyFill="1"/>
    <xf numFmtId="0" fontId="4" fillId="0" borderId="6" xfId="0" applyFont="1" applyFill="1" applyBorder="1"/>
    <xf numFmtId="165" fontId="3" fillId="0" borderId="0" xfId="0" applyNumberFormat="1" applyFont="1" applyFill="1"/>
    <xf numFmtId="165" fontId="4" fillId="0" borderId="0" xfId="0" applyNumberFormat="1" applyFont="1" applyFill="1" applyBorder="1"/>
    <xf numFmtId="165" fontId="4" fillId="0" borderId="11" xfId="0" applyNumberFormat="1" applyFont="1" applyFill="1" applyBorder="1"/>
    <xf numFmtId="165" fontId="3" fillId="0" borderId="0" xfId="0" applyNumberFormat="1" applyFont="1" applyFill="1" applyBorder="1"/>
    <xf numFmtId="165" fontId="3" fillId="0" borderId="11" xfId="0" applyNumberFormat="1" applyFont="1" applyFill="1" applyBorder="1"/>
    <xf numFmtId="0" fontId="3" fillId="0" borderId="12" xfId="0" applyFont="1" applyFill="1" applyBorder="1" applyAlignment="1">
      <alignment horizontal="justify" vertical="center" wrapText="1"/>
    </xf>
    <xf numFmtId="165" fontId="3" fillId="0" borderId="1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0"/>
  <sheetViews>
    <sheetView tabSelected="1" workbookViewId="0">
      <selection activeCell="B16" sqref="B16"/>
    </sheetView>
  </sheetViews>
  <sheetFormatPr baseColWidth="10" defaultRowHeight="12" x14ac:dyDescent="0.2"/>
  <cols>
    <col min="1" max="1" width="5" style="2" customWidth="1"/>
    <col min="2" max="2" width="79" style="2" customWidth="1"/>
    <col min="3" max="3" width="17" style="2" bestFit="1" customWidth="1"/>
    <col min="4" max="4" width="15.85546875" style="2" bestFit="1" customWidth="1"/>
    <col min="5" max="5" width="17" style="2" bestFit="1" customWidth="1"/>
    <col min="6" max="6" width="15.85546875" style="2" bestFit="1" customWidth="1"/>
    <col min="7" max="7" width="17" style="2" bestFit="1" customWidth="1"/>
    <col min="8" max="8" width="16.28515625" style="2" bestFit="1" customWidth="1"/>
    <col min="9" max="9" width="3.140625" style="2" customWidth="1"/>
    <col min="10" max="10" width="15.7109375" style="2" bestFit="1" customWidth="1"/>
    <col min="11" max="11" width="16" style="3" customWidth="1"/>
    <col min="12" max="12" width="11.85546875" style="2" bestFit="1" customWidth="1"/>
    <col min="13" max="16384" width="11.42578125" style="2"/>
  </cols>
  <sheetData>
    <row r="2" spans="2:10" x14ac:dyDescent="0.2">
      <c r="B2" s="1" t="s">
        <v>0</v>
      </c>
      <c r="C2" s="1"/>
      <c r="D2" s="1"/>
      <c r="E2" s="1"/>
      <c r="F2" s="1"/>
      <c r="G2" s="1"/>
      <c r="H2" s="1"/>
      <c r="I2" s="1"/>
    </row>
    <row r="3" spans="2:10" x14ac:dyDescent="0.2">
      <c r="B3" s="4" t="s">
        <v>1</v>
      </c>
      <c r="C3" s="4"/>
      <c r="D3" s="4"/>
      <c r="E3" s="4"/>
      <c r="F3" s="4"/>
      <c r="G3" s="4"/>
      <c r="H3" s="4"/>
    </row>
    <row r="4" spans="2:10" x14ac:dyDescent="0.2">
      <c r="B4" s="5" t="s">
        <v>2</v>
      </c>
      <c r="C4" s="5"/>
      <c r="D4" s="5"/>
      <c r="E4" s="5"/>
      <c r="F4" s="5"/>
      <c r="G4" s="5"/>
      <c r="H4" s="5"/>
    </row>
    <row r="5" spans="2:10" x14ac:dyDescent="0.2">
      <c r="B5" s="5" t="s">
        <v>78</v>
      </c>
      <c r="C5" s="5"/>
      <c r="D5" s="5"/>
      <c r="E5" s="5"/>
      <c r="F5" s="5"/>
      <c r="G5" s="5"/>
      <c r="H5" s="5"/>
    </row>
    <row r="6" spans="2:10" x14ac:dyDescent="0.2">
      <c r="B6" s="5" t="s">
        <v>3</v>
      </c>
      <c r="C6" s="5"/>
      <c r="D6" s="5"/>
      <c r="E6" s="5"/>
      <c r="F6" s="5"/>
      <c r="G6" s="5"/>
      <c r="H6" s="5"/>
    </row>
    <row r="7" spans="2:10" ht="12.75" thickBot="1" x14ac:dyDescent="0.25">
      <c r="B7" s="6"/>
      <c r="C7" s="6"/>
      <c r="D7" s="6"/>
      <c r="E7" s="6"/>
      <c r="F7" s="6"/>
      <c r="G7" s="6"/>
      <c r="H7" s="6"/>
    </row>
    <row r="8" spans="2:10" ht="12.75" thickBot="1" x14ac:dyDescent="0.25">
      <c r="B8" s="7" t="s">
        <v>4</v>
      </c>
      <c r="C8" s="8" t="s">
        <v>5</v>
      </c>
      <c r="D8" s="9"/>
      <c r="E8" s="9"/>
      <c r="F8" s="9"/>
      <c r="G8" s="10"/>
      <c r="H8" s="11" t="s">
        <v>6</v>
      </c>
    </row>
    <row r="9" spans="2:10" ht="24.75" thickBot="1" x14ac:dyDescent="0.25">
      <c r="B9" s="12"/>
      <c r="C9" s="13" t="s">
        <v>7</v>
      </c>
      <c r="D9" s="14" t="s">
        <v>8</v>
      </c>
      <c r="E9" s="13" t="s">
        <v>9</v>
      </c>
      <c r="F9" s="13" t="s">
        <v>10</v>
      </c>
      <c r="G9" s="13" t="s">
        <v>11</v>
      </c>
      <c r="H9" s="15"/>
    </row>
    <row r="10" spans="2:10" ht="12.75" thickBot="1" x14ac:dyDescent="0.25">
      <c r="B10" s="12"/>
      <c r="C10" s="16">
        <v>1</v>
      </c>
      <c r="D10" s="16">
        <v>2</v>
      </c>
      <c r="E10" s="16" t="s">
        <v>12</v>
      </c>
      <c r="F10" s="16">
        <v>4</v>
      </c>
      <c r="G10" s="16">
        <v>5</v>
      </c>
      <c r="H10" s="16" t="s">
        <v>13</v>
      </c>
    </row>
    <row r="11" spans="2:10" x14ac:dyDescent="0.2">
      <c r="B11" s="17" t="s">
        <v>14</v>
      </c>
      <c r="C11" s="18">
        <f>SUM(C12:C18)</f>
        <v>62425093.149000011</v>
      </c>
      <c r="D11" s="18">
        <f t="shared" ref="D11:H11" si="0">SUM(D12:D18)</f>
        <v>1815033.8940099997</v>
      </c>
      <c r="E11" s="18">
        <f t="shared" si="0"/>
        <v>64240127.043010011</v>
      </c>
      <c r="F11" s="18">
        <f t="shared" si="0"/>
        <v>63531384.373209998</v>
      </c>
      <c r="G11" s="18">
        <f t="shared" si="0"/>
        <v>63531384.373209998</v>
      </c>
      <c r="H11" s="19">
        <f t="shared" si="0"/>
        <v>708742.66980000469</v>
      </c>
      <c r="J11" s="20"/>
    </row>
    <row r="12" spans="2:10" x14ac:dyDescent="0.2">
      <c r="B12" s="21" t="s">
        <v>15</v>
      </c>
      <c r="C12" s="22">
        <f>24896118075.85/1000</f>
        <v>24896118.075849999</v>
      </c>
      <c r="D12" s="22">
        <f>1050922046.47/1000</f>
        <v>1050922.0464699999</v>
      </c>
      <c r="E12" s="22">
        <f>+C12+D12</f>
        <v>25947040.12232</v>
      </c>
      <c r="F12" s="22">
        <f>25893938592.68/1000</f>
        <v>25893938.59268</v>
      </c>
      <c r="G12" s="22">
        <f>25893938592.68/1000</f>
        <v>25893938.59268</v>
      </c>
      <c r="H12" s="23">
        <f>+E12-F12</f>
        <v>53101.529640000314</v>
      </c>
    </row>
    <row r="13" spans="2:10" x14ac:dyDescent="0.2">
      <c r="B13" s="21" t="s">
        <v>16</v>
      </c>
      <c r="C13" s="22">
        <f>227219386.13/1000</f>
        <v>227219.38613</v>
      </c>
      <c r="D13" s="22">
        <f>+-55992100.28/1000</f>
        <v>-55992.100279999999</v>
      </c>
      <c r="E13" s="22">
        <f>+C13+D13</f>
        <v>171227.28584999999</v>
      </c>
      <c r="F13" s="22">
        <f>162127683.98/1000</f>
        <v>162127.68398</v>
      </c>
      <c r="G13" s="22">
        <f>162127683.98/1000</f>
        <v>162127.68398</v>
      </c>
      <c r="H13" s="23">
        <f t="shared" ref="H13:H18" si="1">+E13-F13</f>
        <v>9099.601869999984</v>
      </c>
    </row>
    <row r="14" spans="2:10" x14ac:dyDescent="0.2">
      <c r="B14" s="21" t="s">
        <v>17</v>
      </c>
      <c r="C14" s="22">
        <f>19700524538.77/1000</f>
        <v>19700524.538770001</v>
      </c>
      <c r="D14" s="22">
        <f>1121315574.11/1000</f>
        <v>1121315.5741099999</v>
      </c>
      <c r="E14" s="22">
        <f t="shared" ref="E14:E18" si="2">+C14+D14</f>
        <v>20821840.112880003</v>
      </c>
      <c r="F14" s="22">
        <f>20569657679.42/1000</f>
        <v>20569657.679419998</v>
      </c>
      <c r="G14" s="22">
        <f>20569657679.42/1000</f>
        <v>20569657.679419998</v>
      </c>
      <c r="H14" s="23">
        <f t="shared" si="1"/>
        <v>252182.43346000463</v>
      </c>
    </row>
    <row r="15" spans="2:10" x14ac:dyDescent="0.2">
      <c r="B15" s="21" t="s">
        <v>18</v>
      </c>
      <c r="C15" s="22">
        <f>7623097948.03/1000</f>
        <v>7623097.9480299996</v>
      </c>
      <c r="D15" s="22">
        <f>593416150.35/1000</f>
        <v>593416.15035000001</v>
      </c>
      <c r="E15" s="22">
        <f t="shared" si="2"/>
        <v>8216514.0983799994</v>
      </c>
      <c r="F15" s="22">
        <f>8041927795.71/1000</f>
        <v>8041927.7957100002</v>
      </c>
      <c r="G15" s="22">
        <f>8041927795.71/1000</f>
        <v>8041927.7957100002</v>
      </c>
      <c r="H15" s="23">
        <f t="shared" si="1"/>
        <v>174586.30266999919</v>
      </c>
    </row>
    <row r="16" spans="2:10" x14ac:dyDescent="0.2">
      <c r="B16" s="21" t="s">
        <v>19</v>
      </c>
      <c r="C16" s="22">
        <f>9593517656.04/1000</f>
        <v>9593517.6560400017</v>
      </c>
      <c r="D16" s="22">
        <f>+-953711647.6/1000</f>
        <v>-953711.64760000003</v>
      </c>
      <c r="E16" s="22">
        <f t="shared" si="2"/>
        <v>8639806.0084400009</v>
      </c>
      <c r="F16" s="22">
        <f>8454450037.48/1000</f>
        <v>8454450.0374800004</v>
      </c>
      <c r="G16" s="22">
        <f>8454450037.48/1000</f>
        <v>8454450.0374800004</v>
      </c>
      <c r="H16" s="23">
        <f t="shared" si="1"/>
        <v>185355.97096000053</v>
      </c>
    </row>
    <row r="17" spans="2:12" x14ac:dyDescent="0.2">
      <c r="B17" s="21" t="s">
        <v>20</v>
      </c>
      <c r="C17" s="22">
        <v>0</v>
      </c>
      <c r="D17" s="22">
        <v>0</v>
      </c>
      <c r="E17" s="22">
        <f t="shared" si="2"/>
        <v>0</v>
      </c>
      <c r="F17" s="22">
        <v>0</v>
      </c>
      <c r="G17" s="22">
        <v>0</v>
      </c>
      <c r="H17" s="23">
        <f t="shared" si="1"/>
        <v>0</v>
      </c>
    </row>
    <row r="18" spans="2:12" x14ac:dyDescent="0.2">
      <c r="B18" s="21" t="s">
        <v>21</v>
      </c>
      <c r="C18" s="22">
        <f>384615544.18/1000</f>
        <v>384615.54418000003</v>
      </c>
      <c r="D18" s="22">
        <f>59083870.96/1000</f>
        <v>59083.87096</v>
      </c>
      <c r="E18" s="22">
        <f t="shared" si="2"/>
        <v>443699.41514000006</v>
      </c>
      <c r="F18" s="22">
        <f>409282583.94/1000</f>
        <v>409282.58393999998</v>
      </c>
      <c r="G18" s="22">
        <f>409282583.94/1000</f>
        <v>409282.58393999998</v>
      </c>
      <c r="H18" s="23">
        <f t="shared" si="1"/>
        <v>34416.831200000073</v>
      </c>
    </row>
    <row r="19" spans="2:12" s="6" customFormat="1" x14ac:dyDescent="0.2">
      <c r="B19" s="24" t="s">
        <v>22</v>
      </c>
      <c r="C19" s="25">
        <f>SUM(C20:C28)</f>
        <v>2280669.4049999998</v>
      </c>
      <c r="D19" s="25">
        <f t="shared" ref="D19:H19" si="3">SUM(D20:D28)</f>
        <v>59889.754719999954</v>
      </c>
      <c r="E19" s="25">
        <f t="shared" si="3"/>
        <v>2340559.1597200003</v>
      </c>
      <c r="F19" s="25">
        <f t="shared" si="3"/>
        <v>1996066.1843499998</v>
      </c>
      <c r="G19" s="25">
        <f t="shared" si="3"/>
        <v>1429397.1819800001</v>
      </c>
      <c r="H19" s="26">
        <f t="shared" si="3"/>
        <v>344492.97537000012</v>
      </c>
      <c r="J19" s="27"/>
      <c r="K19" s="27"/>
    </row>
    <row r="20" spans="2:12" s="6" customFormat="1" x14ac:dyDescent="0.2">
      <c r="B20" s="28" t="s">
        <v>23</v>
      </c>
      <c r="C20" s="22">
        <f>444557150.94/1000</f>
        <v>444557.15094000002</v>
      </c>
      <c r="D20" s="22">
        <f>+-104018643.54/1000</f>
        <v>-104018.64354</v>
      </c>
      <c r="E20" s="22">
        <f>+C20+D20</f>
        <v>340538.5074</v>
      </c>
      <c r="F20" s="22">
        <f>182298791.42/1000</f>
        <v>182298.79141999999</v>
      </c>
      <c r="G20" s="22">
        <f>115913946.12/1000</f>
        <v>115913.94612000001</v>
      </c>
      <c r="H20" s="23">
        <f>+E20-F20</f>
        <v>158239.71598000001</v>
      </c>
      <c r="K20" s="27"/>
    </row>
    <row r="21" spans="2:12" s="6" customFormat="1" x14ac:dyDescent="0.2">
      <c r="B21" s="28" t="s">
        <v>24</v>
      </c>
      <c r="C21" s="22">
        <f>960902366.88/1000</f>
        <v>960902.36687999999</v>
      </c>
      <c r="D21" s="22">
        <f>294765771.28/1000</f>
        <v>294765.77127999999</v>
      </c>
      <c r="E21" s="22">
        <f t="shared" ref="E21:E28" si="4">+C21+D21</f>
        <v>1255668.1381600001</v>
      </c>
      <c r="F21" s="22">
        <f>1197321134.01/1000</f>
        <v>1197321.1340099999</v>
      </c>
      <c r="G21" s="22">
        <f>832729413.59/1000</f>
        <v>832729.41359000001</v>
      </c>
      <c r="H21" s="23">
        <f t="shared" ref="H21:H28" si="5">+E21-F21</f>
        <v>58347.004150000168</v>
      </c>
      <c r="K21" s="27"/>
    </row>
    <row r="22" spans="2:12" s="6" customFormat="1" x14ac:dyDescent="0.2">
      <c r="B22" s="28" t="s">
        <v>25</v>
      </c>
      <c r="C22" s="22">
        <f>+-56685.51/1000</f>
        <v>-56.685510000000001</v>
      </c>
      <c r="D22" s="22">
        <f>199395.28/1000</f>
        <v>199.39527999999999</v>
      </c>
      <c r="E22" s="22">
        <f t="shared" si="4"/>
        <v>142.70976999999999</v>
      </c>
      <c r="F22" s="22">
        <f>113865.22/1000</f>
        <v>113.86522000000001</v>
      </c>
      <c r="G22" s="22">
        <f>113865.22/1000</f>
        <v>113.86522000000001</v>
      </c>
      <c r="H22" s="23">
        <f t="shared" si="5"/>
        <v>28.844549999999984</v>
      </c>
      <c r="K22" s="27"/>
    </row>
    <row r="23" spans="2:12" s="6" customFormat="1" x14ac:dyDescent="0.2">
      <c r="B23" s="28" t="s">
        <v>26</v>
      </c>
      <c r="C23" s="22">
        <f>69408629.66/1000</f>
        <v>69408.629659999991</v>
      </c>
      <c r="D23" s="22">
        <f>5068259.16/1000</f>
        <v>5068.2591600000005</v>
      </c>
      <c r="E23" s="22">
        <f t="shared" si="4"/>
        <v>74476.888819999993</v>
      </c>
      <c r="F23" s="22">
        <f>67965451.89/1000</f>
        <v>67965.451889999997</v>
      </c>
      <c r="G23" s="22">
        <f>38714420.76/1000</f>
        <v>38714.420760000001</v>
      </c>
      <c r="H23" s="23">
        <f t="shared" si="5"/>
        <v>6511.4369299999962</v>
      </c>
      <c r="K23" s="27"/>
    </row>
    <row r="24" spans="2:12" s="6" customFormat="1" x14ac:dyDescent="0.2">
      <c r="B24" s="28" t="s">
        <v>27</v>
      </c>
      <c r="C24" s="22">
        <f>56138918.18/1000</f>
        <v>56138.918180000001</v>
      </c>
      <c r="D24" s="22">
        <f>4424278.31/1000</f>
        <v>4424.2783099999997</v>
      </c>
      <c r="E24" s="22">
        <f t="shared" si="4"/>
        <v>60563.196490000002</v>
      </c>
      <c r="F24" s="22">
        <f>45457836.81/1000</f>
        <v>45457.836810000001</v>
      </c>
      <c r="G24" s="22">
        <f>24205231.09/1000</f>
        <v>24205.231090000001</v>
      </c>
      <c r="H24" s="23">
        <f t="shared" si="5"/>
        <v>15105.359680000001</v>
      </c>
      <c r="K24" s="27"/>
    </row>
    <row r="25" spans="2:12" s="6" customFormat="1" x14ac:dyDescent="0.2">
      <c r="B25" s="28" t="s">
        <v>28</v>
      </c>
      <c r="C25" s="22">
        <f>421264603.64/1000</f>
        <v>421264.60363999999</v>
      </c>
      <c r="D25" s="22">
        <f>+-18981640.65/1000</f>
        <v>-18981.640649999998</v>
      </c>
      <c r="E25" s="22">
        <f t="shared" si="4"/>
        <v>402282.96298999997</v>
      </c>
      <c r="F25" s="22">
        <f>331421118.54/1000</f>
        <v>331421.11854</v>
      </c>
      <c r="G25" s="22">
        <f>329928204.63/1000</f>
        <v>329928.20462999999</v>
      </c>
      <c r="H25" s="23">
        <f t="shared" si="5"/>
        <v>70861.844449999975</v>
      </c>
      <c r="K25" s="27"/>
    </row>
    <row r="26" spans="2:12" s="6" customFormat="1" x14ac:dyDescent="0.2">
      <c r="B26" s="28" t="s">
        <v>29</v>
      </c>
      <c r="C26" s="22">
        <f>263018734.87/1000</f>
        <v>263018.73486999999</v>
      </c>
      <c r="D26" s="22">
        <f>+-98074238.52/1000</f>
        <v>-98074.238519999999</v>
      </c>
      <c r="E26" s="22">
        <f t="shared" si="4"/>
        <v>164944.49634999997</v>
      </c>
      <c r="F26" s="22">
        <f>147107032.81/1000</f>
        <v>147107.03281</v>
      </c>
      <c r="G26" s="22">
        <f>73123262.77/1000</f>
        <v>73123.262770000001</v>
      </c>
      <c r="H26" s="23">
        <f t="shared" si="5"/>
        <v>17837.463539999968</v>
      </c>
      <c r="K26" s="27"/>
    </row>
    <row r="27" spans="2:12" s="6" customFormat="1" x14ac:dyDescent="0.2">
      <c r="B27" s="28" t="s">
        <v>30</v>
      </c>
      <c r="C27" s="22">
        <f>33895671.99/1000</f>
        <v>33895.671990000003</v>
      </c>
      <c r="D27" s="22">
        <f>+-21163624.28/1000</f>
        <v>-21163.62428</v>
      </c>
      <c r="E27" s="22">
        <f t="shared" si="4"/>
        <v>12732.047710000003</v>
      </c>
      <c r="F27" s="22">
        <f>627989.09/1000</f>
        <v>627.98908999999992</v>
      </c>
      <c r="G27" s="22">
        <f>48055.91/1000</f>
        <v>48.055910000000004</v>
      </c>
      <c r="H27" s="23">
        <f t="shared" si="5"/>
        <v>12104.058620000003</v>
      </c>
      <c r="K27" s="27"/>
    </row>
    <row r="28" spans="2:12" s="6" customFormat="1" x14ac:dyDescent="0.2">
      <c r="B28" s="28" t="s">
        <v>31</v>
      </c>
      <c r="C28" s="22">
        <f>31540014.35/1000</f>
        <v>31540.014350000001</v>
      </c>
      <c r="D28" s="22">
        <f>+-2329802.32/1000</f>
        <v>-2329.8023199999998</v>
      </c>
      <c r="E28" s="22">
        <f t="shared" si="4"/>
        <v>29210.212030000002</v>
      </c>
      <c r="F28" s="22">
        <f>23752964.56/1000</f>
        <v>23752.96456</v>
      </c>
      <c r="G28" s="22">
        <f>14620781.89/1000</f>
        <v>14620.78189</v>
      </c>
      <c r="H28" s="23">
        <f t="shared" si="5"/>
        <v>5457.2474700000021</v>
      </c>
      <c r="K28" s="27"/>
    </row>
    <row r="29" spans="2:12" s="6" customFormat="1" x14ac:dyDescent="0.2">
      <c r="B29" s="24" t="s">
        <v>32</v>
      </c>
      <c r="C29" s="25">
        <f>SUM(C30:C38)</f>
        <v>11446262.601</v>
      </c>
      <c r="D29" s="25">
        <f t="shared" ref="D29:H29" si="6">SUM(D30:D38)</f>
        <v>303338.66588999977</v>
      </c>
      <c r="E29" s="25">
        <f t="shared" si="6"/>
        <v>11749601.266890001</v>
      </c>
      <c r="F29" s="25">
        <f t="shared" si="6"/>
        <v>9637511.6712599993</v>
      </c>
      <c r="G29" s="25">
        <f t="shared" si="6"/>
        <v>8242242.94943</v>
      </c>
      <c r="H29" s="26">
        <f t="shared" si="6"/>
        <v>2112089.5956300003</v>
      </c>
      <c r="J29" s="27"/>
      <c r="K29" s="27"/>
      <c r="L29" s="27"/>
    </row>
    <row r="30" spans="2:12" s="6" customFormat="1" x14ac:dyDescent="0.2">
      <c r="B30" s="28" t="s">
        <v>33</v>
      </c>
      <c r="C30" s="22">
        <f>649486307.5/1000</f>
        <v>649486.3075</v>
      </c>
      <c r="D30" s="22">
        <f>200466273.26/1000</f>
        <v>200466.27325999999</v>
      </c>
      <c r="E30" s="22">
        <f>+C30+D30</f>
        <v>849952.58076000004</v>
      </c>
      <c r="F30" s="22">
        <f>742265589.93/1000</f>
        <v>742265.5899299999</v>
      </c>
      <c r="G30" s="22">
        <f>547294376.43/1000</f>
        <v>547294.37642999995</v>
      </c>
      <c r="H30" s="23">
        <f>+E30-F30</f>
        <v>107686.99083000014</v>
      </c>
      <c r="K30" s="27"/>
    </row>
    <row r="31" spans="2:12" s="6" customFormat="1" x14ac:dyDescent="0.2">
      <c r="B31" s="28" t="s">
        <v>34</v>
      </c>
      <c r="C31" s="22">
        <f>1404857663.9/1000</f>
        <v>1404857.6639</v>
      </c>
      <c r="D31" s="22">
        <f>46480855.61/1000</f>
        <v>46480.855609999999</v>
      </c>
      <c r="E31" s="22">
        <f t="shared" ref="E31:E38" si="7">+C31+D31</f>
        <v>1451338.51951</v>
      </c>
      <c r="F31" s="22">
        <f>1228128048.23/1000</f>
        <v>1228128.0482300001</v>
      </c>
      <c r="G31" s="22">
        <f>1018024274.13/1000</f>
        <v>1018024.27413</v>
      </c>
      <c r="H31" s="23">
        <f t="shared" ref="H31:H38" si="8">+E31-F31</f>
        <v>223210.47127999994</v>
      </c>
      <c r="K31" s="27"/>
    </row>
    <row r="32" spans="2:12" s="6" customFormat="1" x14ac:dyDescent="0.2">
      <c r="B32" s="28" t="s">
        <v>35</v>
      </c>
      <c r="C32" s="22">
        <f>2805876342.11/1000</f>
        <v>2805876.3421100001</v>
      </c>
      <c r="D32" s="22">
        <f>+-177324819.83/1000</f>
        <v>-177324.81983000002</v>
      </c>
      <c r="E32" s="22">
        <f t="shared" si="7"/>
        <v>2628551.5222800002</v>
      </c>
      <c r="F32" s="22">
        <f>2106543962.09/1000</f>
        <v>2106543.96209</v>
      </c>
      <c r="G32" s="22">
        <f>1769893701.15/1000</f>
        <v>1769893.7011500001</v>
      </c>
      <c r="H32" s="23">
        <f t="shared" si="8"/>
        <v>522007.56019000011</v>
      </c>
      <c r="K32" s="27"/>
    </row>
    <row r="33" spans="2:11" s="6" customFormat="1" x14ac:dyDescent="0.2">
      <c r="B33" s="28" t="s">
        <v>36</v>
      </c>
      <c r="C33" s="22">
        <f>1519234995.9/1000</f>
        <v>1519234.9959</v>
      </c>
      <c r="D33" s="22">
        <f>+-236047425.81/1000</f>
        <v>-236047.42581000002</v>
      </c>
      <c r="E33" s="22">
        <f t="shared" si="7"/>
        <v>1283187.5700900001</v>
      </c>
      <c r="F33" s="22">
        <f>706074528.8/1000</f>
        <v>706074.52879999997</v>
      </c>
      <c r="G33" s="22">
        <f>534062093.91/1000</f>
        <v>534062.09391000005</v>
      </c>
      <c r="H33" s="23">
        <f t="shared" si="8"/>
        <v>577113.04129000008</v>
      </c>
      <c r="K33" s="27"/>
    </row>
    <row r="34" spans="2:11" s="6" customFormat="1" x14ac:dyDescent="0.2">
      <c r="B34" s="28" t="s">
        <v>37</v>
      </c>
      <c r="C34" s="22">
        <f>674809735.8/1000</f>
        <v>674809.73579999991</v>
      </c>
      <c r="D34" s="22">
        <f>547555332.41/1000</f>
        <v>547555.33240999992</v>
      </c>
      <c r="E34" s="22">
        <f t="shared" si="7"/>
        <v>1222365.0682099997</v>
      </c>
      <c r="F34" s="22">
        <f>1156303938.3/1000</f>
        <v>1156303.9383</v>
      </c>
      <c r="G34" s="22">
        <f>889673683.53/1000</f>
        <v>889673.68352999992</v>
      </c>
      <c r="H34" s="23">
        <f t="shared" si="8"/>
        <v>66061.129909999669</v>
      </c>
      <c r="K34" s="27"/>
    </row>
    <row r="35" spans="2:11" s="6" customFormat="1" x14ac:dyDescent="0.2">
      <c r="B35" s="28" t="s">
        <v>38</v>
      </c>
      <c r="C35" s="22">
        <f>273594223.04/1000</f>
        <v>273594.22304000001</v>
      </c>
      <c r="D35" s="22">
        <f>310599106.34/1000</f>
        <v>310599.10634</v>
      </c>
      <c r="E35" s="22">
        <f t="shared" si="7"/>
        <v>584193.32938000001</v>
      </c>
      <c r="F35" s="22">
        <f>569710790.57/1000</f>
        <v>569710.79057000007</v>
      </c>
      <c r="G35" s="22">
        <f>540954688.19/1000</f>
        <v>540954.68819000002</v>
      </c>
      <c r="H35" s="23">
        <f t="shared" si="8"/>
        <v>14482.53880999994</v>
      </c>
      <c r="K35" s="27"/>
    </row>
    <row r="36" spans="2:11" s="6" customFormat="1" x14ac:dyDescent="0.2">
      <c r="B36" s="28" t="s">
        <v>39</v>
      </c>
      <c r="C36" s="22">
        <f>53301489.81/1000</f>
        <v>53301.489809999999</v>
      </c>
      <c r="D36" s="22">
        <f>+-17637611.44/1000</f>
        <v>-17637.611440000001</v>
      </c>
      <c r="E36" s="22">
        <f t="shared" si="7"/>
        <v>35663.878369999999</v>
      </c>
      <c r="F36" s="22">
        <f>22662823.45/1000</f>
        <v>22662.82345</v>
      </c>
      <c r="G36" s="22">
        <f>20602607.1/1000</f>
        <v>20602.607100000001</v>
      </c>
      <c r="H36" s="23">
        <f t="shared" si="8"/>
        <v>13001.054919999999</v>
      </c>
      <c r="K36" s="27"/>
    </row>
    <row r="37" spans="2:11" s="6" customFormat="1" x14ac:dyDescent="0.2">
      <c r="B37" s="28" t="s">
        <v>40</v>
      </c>
      <c r="C37" s="22">
        <f>184253094.66/1000</f>
        <v>184253.09466</v>
      </c>
      <c r="D37" s="22">
        <f>+-22737092.82/1000</f>
        <v>-22737.092820000002</v>
      </c>
      <c r="E37" s="22">
        <f t="shared" si="7"/>
        <v>161516.00184000001</v>
      </c>
      <c r="F37" s="22">
        <f>109314751.63/1000</f>
        <v>109314.75163</v>
      </c>
      <c r="G37" s="22">
        <f>67987133.81/1000</f>
        <v>67987.133809999999</v>
      </c>
      <c r="H37" s="23">
        <f t="shared" si="8"/>
        <v>52201.250210000013</v>
      </c>
      <c r="K37" s="27"/>
    </row>
    <row r="38" spans="2:11" s="6" customFormat="1" x14ac:dyDescent="0.2">
      <c r="B38" s="28" t="s">
        <v>41</v>
      </c>
      <c r="C38" s="22">
        <f>3880848748.28/1000</f>
        <v>3880848.7482800004</v>
      </c>
      <c r="D38" s="22">
        <f>+-348015951.83/1000</f>
        <v>-348015.95182999998</v>
      </c>
      <c r="E38" s="22">
        <f t="shared" si="7"/>
        <v>3532832.7964500003</v>
      </c>
      <c r="F38" s="22">
        <f>2996507238.26/1000</f>
        <v>2996507.23826</v>
      </c>
      <c r="G38" s="22">
        <f>2853750391.18/1000</f>
        <v>2853750.3911799998</v>
      </c>
      <c r="H38" s="23">
        <f t="shared" si="8"/>
        <v>536325.55819000024</v>
      </c>
      <c r="K38" s="27"/>
    </row>
    <row r="39" spans="2:11" s="6" customFormat="1" x14ac:dyDescent="0.2">
      <c r="B39" s="24" t="s">
        <v>42</v>
      </c>
      <c r="C39" s="25">
        <f>SUM(C40:C47)</f>
        <v>108714267.69</v>
      </c>
      <c r="D39" s="25">
        <f t="shared" ref="D39:H39" si="9">SUM(D40:D47)</f>
        <v>4477332.7080799993</v>
      </c>
      <c r="E39" s="25">
        <f t="shared" si="9"/>
        <v>113191600.39808001</v>
      </c>
      <c r="F39" s="25">
        <f t="shared" si="9"/>
        <v>108862505.13096</v>
      </c>
      <c r="G39" s="25">
        <f t="shared" si="9"/>
        <v>106199582.48617999</v>
      </c>
      <c r="H39" s="26">
        <f t="shared" si="9"/>
        <v>4329095.2671199907</v>
      </c>
      <c r="J39" s="27"/>
      <c r="K39" s="27"/>
    </row>
    <row r="40" spans="2:11" s="6" customFormat="1" x14ac:dyDescent="0.2">
      <c r="B40" s="28" t="s">
        <v>43</v>
      </c>
      <c r="C40" s="22">
        <f>20319715882/1000</f>
        <v>20319715.881999999</v>
      </c>
      <c r="D40" s="22">
        <f>+-470198536.66/1000</f>
        <v>-470198.53666000004</v>
      </c>
      <c r="E40" s="22">
        <f>+C40+D40</f>
        <v>19849517.345339999</v>
      </c>
      <c r="F40" s="22">
        <f>19359091120.99/1000</f>
        <v>19359091.120990001</v>
      </c>
      <c r="G40" s="22">
        <f>19181703328.8/1000</f>
        <v>19181703.3288</v>
      </c>
      <c r="H40" s="23">
        <f>+E40-F40</f>
        <v>490426.22434999794</v>
      </c>
      <c r="K40" s="27"/>
    </row>
    <row r="41" spans="2:11" s="6" customFormat="1" x14ac:dyDescent="0.2">
      <c r="B41" s="28" t="s">
        <v>44</v>
      </c>
      <c r="C41" s="22">
        <f>35910000/1000</f>
        <v>35910</v>
      </c>
      <c r="D41" s="22">
        <f>+-35910000/1000</f>
        <v>-35910</v>
      </c>
      <c r="E41" s="22">
        <f t="shared" ref="E41:E47" si="10">+C41+D41</f>
        <v>0</v>
      </c>
      <c r="F41" s="22">
        <v>0</v>
      </c>
      <c r="G41" s="22">
        <v>0</v>
      </c>
      <c r="H41" s="23">
        <f t="shared" ref="H41:H47" si="11">+E41-F41</f>
        <v>0</v>
      </c>
      <c r="K41" s="29"/>
    </row>
    <row r="42" spans="2:11" s="6" customFormat="1" x14ac:dyDescent="0.2">
      <c r="B42" s="28" t="s">
        <v>45</v>
      </c>
      <c r="C42" s="22">
        <f>6420398219/1000</f>
        <v>6420398.2189999996</v>
      </c>
      <c r="D42" s="22">
        <f>+-86218306.14/1000</f>
        <v>-86218.306140000001</v>
      </c>
      <c r="E42" s="22">
        <f t="shared" si="10"/>
        <v>6334179.9128599996</v>
      </c>
      <c r="F42" s="22">
        <f>6115938002.91/1000</f>
        <v>6115938.0029100003</v>
      </c>
      <c r="G42" s="22">
        <f>5924864570.31/1000</f>
        <v>5924864.5703100003</v>
      </c>
      <c r="H42" s="23">
        <f t="shared" si="11"/>
        <v>218241.9099499993</v>
      </c>
      <c r="K42" s="27"/>
    </row>
    <row r="43" spans="2:11" s="6" customFormat="1" x14ac:dyDescent="0.2">
      <c r="B43" s="28" t="s">
        <v>46</v>
      </c>
      <c r="C43" s="22">
        <f>4108970152/1000</f>
        <v>4108970.1519999998</v>
      </c>
      <c r="D43" s="22">
        <f>+-973773827.98/1000</f>
        <v>-973773.82798000006</v>
      </c>
      <c r="E43" s="22">
        <f t="shared" si="10"/>
        <v>3135196.3240199997</v>
      </c>
      <c r="F43" s="22">
        <f>2980879852.69/1000</f>
        <v>2980879.8526900001</v>
      </c>
      <c r="G43" s="22">
        <f>2242589367.58/1000</f>
        <v>2242589.3675799998</v>
      </c>
      <c r="H43" s="23">
        <f t="shared" si="11"/>
        <v>154316.47132999962</v>
      </c>
      <c r="K43" s="27"/>
    </row>
    <row r="44" spans="2:11" s="6" customFormat="1" x14ac:dyDescent="0.2">
      <c r="B44" s="28" t="s">
        <v>47</v>
      </c>
      <c r="C44" s="22">
        <f>19943786/1000</f>
        <v>19943.786</v>
      </c>
      <c r="D44" s="22">
        <f>+-7933663.9/1000</f>
        <v>-7933.6639000000005</v>
      </c>
      <c r="E44" s="22">
        <f t="shared" si="10"/>
        <v>12010.122100000001</v>
      </c>
      <c r="F44" s="22">
        <f>3491118.13/1000</f>
        <v>3491.1181299999998</v>
      </c>
      <c r="G44" s="22">
        <f>3491118.13/1000</f>
        <v>3491.1181299999998</v>
      </c>
      <c r="H44" s="23">
        <f t="shared" si="11"/>
        <v>8519.0039700000016</v>
      </c>
      <c r="K44" s="27"/>
    </row>
    <row r="45" spans="2:11" s="6" customFormat="1" x14ac:dyDescent="0.2">
      <c r="B45" s="28" t="s">
        <v>48</v>
      </c>
      <c r="C45" s="22">
        <f>77703204234/1000</f>
        <v>77703204.233999997</v>
      </c>
      <c r="D45" s="22">
        <f>6042203956.16/1000+0.1</f>
        <v>6042204.0561599992</v>
      </c>
      <c r="E45" s="22">
        <f t="shared" si="10"/>
        <v>83745408.29016</v>
      </c>
      <c r="F45" s="22">
        <f>80313786489.24/1000</f>
        <v>80313786.489240006</v>
      </c>
      <c r="G45" s="22">
        <f>78782167384.36/1000</f>
        <v>78782167.38436</v>
      </c>
      <c r="H45" s="23">
        <f t="shared" si="11"/>
        <v>3431621.8009199947</v>
      </c>
      <c r="K45" s="27"/>
    </row>
    <row r="46" spans="2:11" s="6" customFormat="1" x14ac:dyDescent="0.2">
      <c r="B46" s="28" t="s">
        <v>49</v>
      </c>
      <c r="C46" s="22">
        <f>103863578/1000</f>
        <v>103863.57799999999</v>
      </c>
      <c r="D46" s="22">
        <f>9162986.6/1000</f>
        <v>9162.9866000000002</v>
      </c>
      <c r="E46" s="22">
        <f t="shared" si="10"/>
        <v>113026.5646</v>
      </c>
      <c r="F46" s="22">
        <f>89318547/1000</f>
        <v>89318.547000000006</v>
      </c>
      <c r="G46" s="22">
        <f>64766717/1000</f>
        <v>64766.716999999997</v>
      </c>
      <c r="H46" s="23">
        <f t="shared" si="11"/>
        <v>23708.017599999992</v>
      </c>
      <c r="K46" s="27"/>
    </row>
    <row r="47" spans="2:11" s="6" customFormat="1" x14ac:dyDescent="0.2">
      <c r="B47" s="28" t="s">
        <v>50</v>
      </c>
      <c r="C47" s="22">
        <f>2261839/1000</f>
        <v>2261.8389999999999</v>
      </c>
      <c r="D47" s="22">
        <v>0</v>
      </c>
      <c r="E47" s="22">
        <f t="shared" si="10"/>
        <v>2261.8389999999999</v>
      </c>
      <c r="F47" s="22">
        <v>0</v>
      </c>
      <c r="G47" s="22">
        <v>0</v>
      </c>
      <c r="H47" s="23">
        <f t="shared" si="11"/>
        <v>2261.8389999999999</v>
      </c>
      <c r="K47" s="27"/>
    </row>
    <row r="48" spans="2:11" s="6" customFormat="1" x14ac:dyDescent="0.2">
      <c r="B48" s="24" t="s">
        <v>51</v>
      </c>
      <c r="C48" s="25">
        <f>SUM(C49:C56)</f>
        <v>27837.746999999999</v>
      </c>
      <c r="D48" s="25">
        <f t="shared" ref="D48:H48" si="12">SUM(D49:D56)</f>
        <v>225003.00713000001</v>
      </c>
      <c r="E48" s="25">
        <f t="shared" si="12"/>
        <v>252840.75412999999</v>
      </c>
      <c r="F48" s="25">
        <f t="shared" si="12"/>
        <v>203253.48258999997</v>
      </c>
      <c r="G48" s="25">
        <f t="shared" si="12"/>
        <v>2767.1495799999998</v>
      </c>
      <c r="H48" s="26">
        <f t="shared" si="12"/>
        <v>49587.271540000002</v>
      </c>
      <c r="K48" s="27"/>
    </row>
    <row r="49" spans="2:11" s="6" customFormat="1" x14ac:dyDescent="0.2">
      <c r="B49" s="28" t="s">
        <v>52</v>
      </c>
      <c r="C49" s="22">
        <f>4354239.9/1000</f>
        <v>4354.2399000000005</v>
      </c>
      <c r="D49" s="22">
        <f>135582573.34/1000</f>
        <v>135582.57334</v>
      </c>
      <c r="E49" s="22">
        <f>+C49+D49</f>
        <v>139936.81323999999</v>
      </c>
      <c r="F49" s="22">
        <f>104244996.19/1000</f>
        <v>104244.99618999999</v>
      </c>
      <c r="G49" s="22">
        <f>2380822.59/1000</f>
        <v>2380.8225899999998</v>
      </c>
      <c r="H49" s="23">
        <f>+E49-F49</f>
        <v>35691.817049999998</v>
      </c>
      <c r="K49" s="27"/>
    </row>
    <row r="50" spans="2:11" s="6" customFormat="1" x14ac:dyDescent="0.2">
      <c r="B50" s="28" t="s">
        <v>53</v>
      </c>
      <c r="C50" s="22">
        <f>988858/1000</f>
        <v>988.85799999999995</v>
      </c>
      <c r="D50" s="22">
        <f>1105638.2/1000</f>
        <v>1105.6381999999999</v>
      </c>
      <c r="E50" s="22">
        <f t="shared" ref="E50:E56" si="13">+C50+D50</f>
        <v>2094.4961999999996</v>
      </c>
      <c r="F50" s="22">
        <f>585175.33/1000</f>
        <v>585.17532999999992</v>
      </c>
      <c r="G50" s="22">
        <f>233863.99/1000</f>
        <v>233.86399</v>
      </c>
      <c r="H50" s="23">
        <f t="shared" ref="H50:H56" si="14">+E50-F50</f>
        <v>1509.3208699999996</v>
      </c>
      <c r="K50" s="27"/>
    </row>
    <row r="51" spans="2:11" s="6" customFormat="1" x14ac:dyDescent="0.2">
      <c r="B51" s="28" t="s">
        <v>54</v>
      </c>
      <c r="C51" s="22">
        <f>+-31.5</f>
        <v>-31.5</v>
      </c>
      <c r="D51" s="22">
        <f>811262.03/1000</f>
        <v>811.26202999999998</v>
      </c>
      <c r="E51" s="22">
        <f t="shared" si="13"/>
        <v>779.76202999999998</v>
      </c>
      <c r="F51" s="22">
        <f>559638.88/1000</f>
        <v>559.63887999999997</v>
      </c>
      <c r="G51" s="22">
        <v>0</v>
      </c>
      <c r="H51" s="23">
        <f t="shared" si="14"/>
        <v>220.12315000000001</v>
      </c>
      <c r="K51" s="27"/>
    </row>
    <row r="52" spans="2:11" s="6" customFormat="1" x14ac:dyDescent="0.2">
      <c r="B52" s="28" t="s">
        <v>55</v>
      </c>
      <c r="C52" s="22">
        <f>8359446.3/1000</f>
        <v>8359.4462999999996</v>
      </c>
      <c r="D52" s="22">
        <f>87799110.76/1000</f>
        <v>87799.11076000001</v>
      </c>
      <c r="E52" s="22">
        <f t="shared" si="13"/>
        <v>96158.557060000006</v>
      </c>
      <c r="F52" s="22">
        <f>94978250/1000</f>
        <v>94978.25</v>
      </c>
      <c r="G52" s="22">
        <v>0</v>
      </c>
      <c r="H52" s="23">
        <f t="shared" si="14"/>
        <v>1180.3070600000065</v>
      </c>
      <c r="K52" s="27"/>
    </row>
    <row r="53" spans="2:11" s="6" customFormat="1" x14ac:dyDescent="0.2">
      <c r="B53" s="28" t="s">
        <v>56</v>
      </c>
      <c r="C53" s="22">
        <v>0</v>
      </c>
      <c r="D53" s="22">
        <v>0</v>
      </c>
      <c r="E53" s="22">
        <f t="shared" si="13"/>
        <v>0</v>
      </c>
      <c r="F53" s="22">
        <v>0</v>
      </c>
      <c r="G53" s="22">
        <v>0</v>
      </c>
      <c r="H53" s="23">
        <f t="shared" si="14"/>
        <v>0</v>
      </c>
      <c r="K53" s="27"/>
    </row>
    <row r="54" spans="2:11" s="6" customFormat="1" x14ac:dyDescent="0.2">
      <c r="B54" s="28" t="s">
        <v>57</v>
      </c>
      <c r="C54" s="22">
        <f>12966044.8/1000</f>
        <v>12966.044800000001</v>
      </c>
      <c r="D54" s="22">
        <f>+-4780507.93/1000</f>
        <v>-4780.5079299999998</v>
      </c>
      <c r="E54" s="22">
        <f t="shared" si="13"/>
        <v>8185.5368700000017</v>
      </c>
      <c r="F54" s="22">
        <f>2743120.4/1000</f>
        <v>2743.1203999999998</v>
      </c>
      <c r="G54" s="22">
        <f>152463/1000</f>
        <v>152.46299999999999</v>
      </c>
      <c r="H54" s="23">
        <f t="shared" si="14"/>
        <v>5442.4164700000019</v>
      </c>
      <c r="K54" s="27"/>
    </row>
    <row r="55" spans="2:11" s="6" customFormat="1" x14ac:dyDescent="0.2">
      <c r="B55" s="28" t="s">
        <v>58</v>
      </c>
      <c r="C55" s="22">
        <f>1194000/1000</f>
        <v>1194</v>
      </c>
      <c r="D55" s="22">
        <v>0</v>
      </c>
      <c r="E55" s="22">
        <f t="shared" si="13"/>
        <v>1194</v>
      </c>
      <c r="F55" s="22">
        <v>0</v>
      </c>
      <c r="G55" s="22">
        <v>0</v>
      </c>
      <c r="H55" s="23">
        <f t="shared" si="14"/>
        <v>1194</v>
      </c>
      <c r="J55" s="27"/>
      <c r="K55" s="27"/>
    </row>
    <row r="56" spans="2:11" s="6" customFormat="1" x14ac:dyDescent="0.2">
      <c r="B56" s="28" t="s">
        <v>59</v>
      </c>
      <c r="C56" s="22">
        <v>6.6580000000000004</v>
      </c>
      <c r="D56" s="22">
        <f>4484930.73/1000</f>
        <v>4484.93073</v>
      </c>
      <c r="E56" s="22">
        <f t="shared" si="13"/>
        <v>4491.5887300000004</v>
      </c>
      <c r="F56" s="22">
        <f>142301.79/1000</f>
        <v>142.30179000000001</v>
      </c>
      <c r="G56" s="22">
        <v>0</v>
      </c>
      <c r="H56" s="23">
        <f t="shared" si="14"/>
        <v>4349.28694</v>
      </c>
      <c r="K56" s="27"/>
    </row>
    <row r="57" spans="2:11" s="6" customFormat="1" x14ac:dyDescent="0.2">
      <c r="B57" s="24" t="s">
        <v>60</v>
      </c>
      <c r="C57" s="25">
        <f>SUM(C58:C60)</f>
        <v>22690976.600000001</v>
      </c>
      <c r="D57" s="25">
        <f t="shared" ref="D57:G57" si="15">SUM(D58:D60)</f>
        <v>7234876.6891400004</v>
      </c>
      <c r="E57" s="25">
        <f t="shared" si="15"/>
        <v>29925853.289140001</v>
      </c>
      <c r="F57" s="25">
        <f t="shared" si="15"/>
        <v>29925853.289139997</v>
      </c>
      <c r="G57" s="25">
        <f t="shared" si="15"/>
        <v>27388241.166650001</v>
      </c>
      <c r="H57" s="26">
        <f>SUM(H58:H60)</f>
        <v>0</v>
      </c>
      <c r="J57" s="27"/>
      <c r="K57" s="27"/>
    </row>
    <row r="58" spans="2:11" s="6" customFormat="1" x14ac:dyDescent="0.2">
      <c r="B58" s="28" t="s">
        <v>61</v>
      </c>
      <c r="C58" s="30">
        <f>20732430664/1000</f>
        <v>20732430.664000001</v>
      </c>
      <c r="D58" s="30">
        <f>5731140802.51/1000</f>
        <v>5731140.8025099998</v>
      </c>
      <c r="E58" s="30">
        <f>+C58+D58</f>
        <v>26463571.466510002</v>
      </c>
      <c r="F58" s="30">
        <f>26463571466.51/1000</f>
        <v>26463571.466509998</v>
      </c>
      <c r="G58" s="30">
        <f>24069526511.75/1000</f>
        <v>24069526.511750001</v>
      </c>
      <c r="H58" s="31">
        <f>+E58-F58</f>
        <v>0</v>
      </c>
      <c r="J58" s="27"/>
      <c r="K58" s="27"/>
    </row>
    <row r="59" spans="2:11" s="6" customFormat="1" x14ac:dyDescent="0.2">
      <c r="B59" s="28" t="s">
        <v>62</v>
      </c>
      <c r="C59" s="30">
        <f>40000000/1000</f>
        <v>40000</v>
      </c>
      <c r="D59" s="30">
        <f>4464989.54/1000</f>
        <v>4464.9895400000005</v>
      </c>
      <c r="E59" s="30">
        <f t="shared" ref="E59:E60" si="16">+C59+D59</f>
        <v>44464.989540000002</v>
      </c>
      <c r="F59" s="30">
        <f>44464989.54/1000</f>
        <v>44464.989540000002</v>
      </c>
      <c r="G59" s="30">
        <f>42669107.27/1000</f>
        <v>42669.10727</v>
      </c>
      <c r="H59" s="31">
        <f t="shared" ref="H59:H60" si="17">+E59-F59</f>
        <v>0</v>
      </c>
      <c r="J59" s="27"/>
      <c r="K59" s="27"/>
    </row>
    <row r="60" spans="2:11" s="6" customFormat="1" x14ac:dyDescent="0.2">
      <c r="B60" s="28" t="s">
        <v>63</v>
      </c>
      <c r="C60" s="30">
        <f>1918545936/1000</f>
        <v>1918545.936</v>
      </c>
      <c r="D60" s="30">
        <f>1499270897.09/1000</f>
        <v>1499270.8970899999</v>
      </c>
      <c r="E60" s="30">
        <f t="shared" si="16"/>
        <v>3417816.8330899999</v>
      </c>
      <c r="F60" s="30">
        <f>3417816833.09/1000</f>
        <v>3417816.8330900003</v>
      </c>
      <c r="G60" s="30">
        <f>3276045547.63/1000</f>
        <v>3276045.5476299999</v>
      </c>
      <c r="H60" s="31">
        <f t="shared" si="17"/>
        <v>0</v>
      </c>
      <c r="K60" s="27"/>
    </row>
    <row r="61" spans="2:11" s="6" customFormat="1" x14ac:dyDescent="0.2">
      <c r="B61" s="24" t="s">
        <v>64</v>
      </c>
      <c r="C61" s="32">
        <f>+C62</f>
        <v>2112371.5660000001</v>
      </c>
      <c r="D61" s="32">
        <f t="shared" ref="D61:H61" si="18">+D62</f>
        <v>848269.70247999998</v>
      </c>
      <c r="E61" s="32">
        <f t="shared" si="18"/>
        <v>2960641.2684800001</v>
      </c>
      <c r="F61" s="32">
        <f t="shared" si="18"/>
        <v>2960641.2684800001</v>
      </c>
      <c r="G61" s="32">
        <f t="shared" si="18"/>
        <v>2960641.2684800001</v>
      </c>
      <c r="H61" s="33">
        <f t="shared" si="18"/>
        <v>0</v>
      </c>
      <c r="K61" s="27"/>
    </row>
    <row r="62" spans="2:11" s="6" customFormat="1" x14ac:dyDescent="0.2">
      <c r="B62" s="28" t="s">
        <v>65</v>
      </c>
      <c r="C62" s="30">
        <f>2112371566/1000</f>
        <v>2112371.5660000001</v>
      </c>
      <c r="D62" s="30">
        <f>848269702.48/1000</f>
        <v>848269.70247999998</v>
      </c>
      <c r="E62" s="30">
        <f>+C62+D62</f>
        <v>2960641.2684800001</v>
      </c>
      <c r="F62" s="30">
        <f>2960641268.48/1000</f>
        <v>2960641.2684800001</v>
      </c>
      <c r="G62" s="30">
        <f>2960641268.48/1000</f>
        <v>2960641.2684800001</v>
      </c>
      <c r="H62" s="31">
        <v>0</v>
      </c>
      <c r="K62" s="27"/>
    </row>
    <row r="63" spans="2:11" s="6" customFormat="1" x14ac:dyDescent="0.2">
      <c r="B63" s="24" t="s">
        <v>66</v>
      </c>
      <c r="C63" s="32">
        <f>SUM(C64:C66)</f>
        <v>45928543.932999998</v>
      </c>
      <c r="D63" s="32">
        <f t="shared" ref="D63:H63" si="19">SUM(D64:D66)</f>
        <v>1.5999999777704943E-4</v>
      </c>
      <c r="E63" s="32">
        <f t="shared" si="19"/>
        <v>45928543.933160007</v>
      </c>
      <c r="F63" s="32">
        <f t="shared" si="19"/>
        <v>45632801.872490004</v>
      </c>
      <c r="G63" s="32">
        <f t="shared" si="19"/>
        <v>45632801.872490004</v>
      </c>
      <c r="H63" s="33">
        <f t="shared" si="19"/>
        <v>295742.06066999957</v>
      </c>
      <c r="J63" s="27"/>
      <c r="K63" s="27"/>
    </row>
    <row r="64" spans="2:11" s="6" customFormat="1" x14ac:dyDescent="0.2">
      <c r="B64" s="28" t="s">
        <v>67</v>
      </c>
      <c r="C64" s="22">
        <f>28789685572/1000</f>
        <v>28789685.572000001</v>
      </c>
      <c r="D64" s="22">
        <f>+-32952786.35/1000</f>
        <v>-32952.786350000002</v>
      </c>
      <c r="E64" s="22">
        <f>+C64+D64</f>
        <v>28756732.78565</v>
      </c>
      <c r="F64" s="22">
        <f>28460990724.98/1000</f>
        <v>28460990.72498</v>
      </c>
      <c r="G64" s="22">
        <f>28460990724.98/1000</f>
        <v>28460990.72498</v>
      </c>
      <c r="H64" s="23">
        <f>+E64-F64</f>
        <v>295742.06066999957</v>
      </c>
      <c r="K64" s="27"/>
    </row>
    <row r="65" spans="2:11" s="6" customFormat="1" x14ac:dyDescent="0.2">
      <c r="B65" s="28" t="s">
        <v>68</v>
      </c>
      <c r="C65" s="22">
        <f>17138858361/1000</f>
        <v>17138858.361000001</v>
      </c>
      <c r="D65" s="22">
        <f>17296414/1000</f>
        <v>17296.414000000001</v>
      </c>
      <c r="E65" s="22">
        <f t="shared" ref="E65:E66" si="20">+C65+D65</f>
        <v>17156154.775000002</v>
      </c>
      <c r="F65" s="22">
        <f>17156154775/1000</f>
        <v>17156154.774999999</v>
      </c>
      <c r="G65" s="22">
        <f>17156154775/1000</f>
        <v>17156154.774999999</v>
      </c>
      <c r="H65" s="23">
        <f t="shared" ref="H65:H66" si="21">+E65-F65</f>
        <v>0</v>
      </c>
      <c r="K65" s="27"/>
    </row>
    <row r="66" spans="2:11" s="6" customFormat="1" x14ac:dyDescent="0.2">
      <c r="B66" s="28" t="s">
        <v>69</v>
      </c>
      <c r="C66" s="22">
        <v>0</v>
      </c>
      <c r="D66" s="22">
        <f>15656372.51/1000</f>
        <v>15656.372509999999</v>
      </c>
      <c r="E66" s="22">
        <f t="shared" si="20"/>
        <v>15656.372509999999</v>
      </c>
      <c r="F66" s="22">
        <f>15656372.51/1000</f>
        <v>15656.372509999999</v>
      </c>
      <c r="G66" s="22">
        <f>15656372.51/1000</f>
        <v>15656.372509999999</v>
      </c>
      <c r="H66" s="23">
        <f t="shared" si="21"/>
        <v>0</v>
      </c>
      <c r="K66" s="27"/>
    </row>
    <row r="67" spans="2:11" s="6" customFormat="1" x14ac:dyDescent="0.2">
      <c r="B67" s="24" t="s">
        <v>70</v>
      </c>
      <c r="C67" s="25">
        <f>SUM(C68:C73)</f>
        <v>10272568.950000001</v>
      </c>
      <c r="D67" s="25">
        <f t="shared" ref="D67:H67" si="22">SUM(D68:D73)</f>
        <v>1713998.3074699999</v>
      </c>
      <c r="E67" s="25">
        <f t="shared" si="22"/>
        <v>11986567.257470001</v>
      </c>
      <c r="F67" s="25">
        <f t="shared" si="22"/>
        <v>11986567.257470001</v>
      </c>
      <c r="G67" s="25">
        <f t="shared" si="22"/>
        <v>11986567.257470001</v>
      </c>
      <c r="H67" s="26">
        <f t="shared" si="22"/>
        <v>0</v>
      </c>
      <c r="K67" s="27"/>
    </row>
    <row r="68" spans="2:11" s="6" customFormat="1" x14ac:dyDescent="0.2">
      <c r="B68" s="28" t="s">
        <v>71</v>
      </c>
      <c r="C68" s="22">
        <f>2972817870/1000</f>
        <v>2972817.87</v>
      </c>
      <c r="D68" s="22">
        <f>+-1291376185.85/1000</f>
        <v>-1291376.18585</v>
      </c>
      <c r="E68" s="22">
        <f>+C68+D68</f>
        <v>1681441.6841500001</v>
      </c>
      <c r="F68" s="22">
        <f>1681441684.15/1000</f>
        <v>1681441.6841500001</v>
      </c>
      <c r="G68" s="22">
        <f>1681441684.15/1000</f>
        <v>1681441.6841500001</v>
      </c>
      <c r="H68" s="23">
        <f>+E68-F68</f>
        <v>0</v>
      </c>
      <c r="K68" s="27"/>
    </row>
    <row r="69" spans="2:11" s="6" customFormat="1" x14ac:dyDescent="0.2">
      <c r="B69" s="28" t="s">
        <v>72</v>
      </c>
      <c r="C69" s="22">
        <f>2928678278/1000</f>
        <v>2928678.2779999999</v>
      </c>
      <c r="D69" s="22">
        <f>+-523822816.78/1000</f>
        <v>-523822.81677999999</v>
      </c>
      <c r="E69" s="22">
        <f t="shared" ref="E69:E73" si="23">+C69+D69</f>
        <v>2404855.4612199999</v>
      </c>
      <c r="F69" s="22">
        <f>2404855461.22/1000</f>
        <v>2404855.4612199999</v>
      </c>
      <c r="G69" s="22">
        <f>2404855461.22/1000</f>
        <v>2404855.4612199999</v>
      </c>
      <c r="H69" s="23">
        <f t="shared" ref="H69:H73" si="24">+E69-F69</f>
        <v>0</v>
      </c>
      <c r="K69" s="27"/>
    </row>
    <row r="70" spans="2:11" s="6" customFormat="1" x14ac:dyDescent="0.2">
      <c r="B70" s="28" t="s">
        <v>73</v>
      </c>
      <c r="C70" s="22">
        <f>201787109/1000</f>
        <v>201787.109</v>
      </c>
      <c r="D70" s="22">
        <f>+-119941985.97/1000</f>
        <v>-119941.98596999999</v>
      </c>
      <c r="E70" s="22">
        <f t="shared" si="23"/>
        <v>81845.123030000002</v>
      </c>
      <c r="F70" s="22">
        <f>81845123.03/1000</f>
        <v>81845.123030000002</v>
      </c>
      <c r="G70" s="22">
        <f>81845123.03/1000</f>
        <v>81845.123030000002</v>
      </c>
      <c r="H70" s="23">
        <f t="shared" si="24"/>
        <v>0</v>
      </c>
      <c r="K70" s="27"/>
    </row>
    <row r="71" spans="2:11" s="6" customFormat="1" x14ac:dyDescent="0.2">
      <c r="B71" s="28" t="s">
        <v>74</v>
      </c>
      <c r="C71" s="22">
        <f>256064854/1000</f>
        <v>256064.85399999999</v>
      </c>
      <c r="D71" s="22">
        <f>+-256064854/1000</f>
        <v>-256064.85399999999</v>
      </c>
      <c r="E71" s="22">
        <f t="shared" si="23"/>
        <v>0</v>
      </c>
      <c r="F71" s="22">
        <v>0</v>
      </c>
      <c r="G71" s="22">
        <v>0</v>
      </c>
      <c r="H71" s="23">
        <f t="shared" si="24"/>
        <v>0</v>
      </c>
      <c r="K71" s="27"/>
    </row>
    <row r="72" spans="2:11" s="6" customFormat="1" x14ac:dyDescent="0.2">
      <c r="B72" s="28" t="s">
        <v>75</v>
      </c>
      <c r="C72" s="22">
        <f>669529830/1000</f>
        <v>669529.82999999996</v>
      </c>
      <c r="D72" s="22">
        <f>181282256.9/1000</f>
        <v>181282.25690000001</v>
      </c>
      <c r="E72" s="22">
        <f t="shared" si="23"/>
        <v>850812.08689999999</v>
      </c>
      <c r="F72" s="22">
        <f>850812086.9/1000</f>
        <v>850812.08689999999</v>
      </c>
      <c r="G72" s="22">
        <f>850812086.9/1000</f>
        <v>850812.08689999999</v>
      </c>
      <c r="H72" s="23">
        <f t="shared" si="24"/>
        <v>0</v>
      </c>
      <c r="K72" s="27"/>
    </row>
    <row r="73" spans="2:11" s="6" customFormat="1" x14ac:dyDescent="0.2">
      <c r="B73" s="28" t="s">
        <v>76</v>
      </c>
      <c r="C73" s="22">
        <f>3243691009/1000</f>
        <v>3243691.0090000001</v>
      </c>
      <c r="D73" s="22">
        <f>3723921893.17/1000</f>
        <v>3723921.8931700001</v>
      </c>
      <c r="E73" s="22">
        <f t="shared" si="23"/>
        <v>6967612.9021700006</v>
      </c>
      <c r="F73" s="22">
        <f>6967612902.17/1000</f>
        <v>6967612.9021699997</v>
      </c>
      <c r="G73" s="22">
        <f>6967612902.17/1000</f>
        <v>6967612.9021699997</v>
      </c>
      <c r="H73" s="23">
        <f t="shared" si="24"/>
        <v>0</v>
      </c>
      <c r="K73" s="27"/>
    </row>
    <row r="74" spans="2:11" s="6" customFormat="1" ht="17.25" customHeight="1" thickBot="1" x14ac:dyDescent="0.25">
      <c r="B74" s="34" t="s">
        <v>77</v>
      </c>
      <c r="C74" s="35">
        <f>SUM(C11+C19+C29+C39+C48+C57+C61+C63+C67)</f>
        <v>265898591.64100003</v>
      </c>
      <c r="D74" s="35">
        <f>SUM(D11+D19+D29+D39+D48+D57+D61+D63+D67)</f>
        <v>16677742.729079997</v>
      </c>
      <c r="E74" s="35">
        <f>+E11+E19+E29+E39+E48+E57+E61+E63+E67</f>
        <v>282576334.37008005</v>
      </c>
      <c r="F74" s="35">
        <f>+F11+F19+F29+F39+F48+F57+F61+F63+F67</f>
        <v>274736584.52995002</v>
      </c>
      <c r="G74" s="35">
        <f>+G11+G19+G29+G39+G48+G57+G61+G63+G67</f>
        <v>267373625.70547003</v>
      </c>
      <c r="H74" s="36">
        <f>+H11+H19+H29+H39+H48+H57+H61+H63+H67</f>
        <v>7839749.8401299957</v>
      </c>
      <c r="I74" s="2"/>
      <c r="K74" s="27"/>
    </row>
    <row r="75" spans="2:11" x14ac:dyDescent="0.2">
      <c r="C75" s="37"/>
      <c r="D75" s="25"/>
      <c r="E75" s="37"/>
      <c r="F75" s="25"/>
      <c r="G75" s="25"/>
      <c r="H75" s="22"/>
    </row>
    <row r="76" spans="2:11" x14ac:dyDescent="0.2">
      <c r="C76" s="37"/>
      <c r="D76" s="37"/>
      <c r="E76" s="37"/>
      <c r="F76" s="22"/>
      <c r="G76" s="22"/>
      <c r="H76" s="37"/>
    </row>
    <row r="77" spans="2:11" x14ac:dyDescent="0.2">
      <c r="C77" s="37"/>
      <c r="D77" s="37"/>
      <c r="E77" s="37"/>
      <c r="F77" s="22"/>
      <c r="G77" s="38"/>
    </row>
    <row r="78" spans="2:11" x14ac:dyDescent="0.2">
      <c r="G78" s="20"/>
    </row>
    <row r="80" spans="2:11" x14ac:dyDescent="0.2">
      <c r="F80" s="3"/>
    </row>
  </sheetData>
  <mergeCells count="8">
    <mergeCell ref="B8:B10"/>
    <mergeCell ref="C8:G8"/>
    <mergeCell ref="H8:H9"/>
    <mergeCell ref="B2:I2"/>
    <mergeCell ref="B3:H3"/>
    <mergeCell ref="B4:H4"/>
    <mergeCell ref="B5:H5"/>
    <mergeCell ref="B6:H6"/>
  </mergeCells>
  <printOptions horizontalCentered="1"/>
  <pageMargins left="0.31496062992125984" right="0.19685039370078741" top="0.15748031496062992" bottom="0.1968503937007874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Carol</cp:lastModifiedBy>
  <cp:lastPrinted>2022-05-06T15:44:16Z</cp:lastPrinted>
  <dcterms:created xsi:type="dcterms:W3CDTF">2022-04-14T22:25:37Z</dcterms:created>
  <dcterms:modified xsi:type="dcterms:W3CDTF">2022-05-06T15:44:27Z</dcterms:modified>
</cp:coreProperties>
</file>