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C152" i="1" l="1"/>
  <c r="G82" i="1" l="1"/>
  <c r="F82" i="1"/>
  <c r="G79" i="1"/>
  <c r="F79" i="1"/>
  <c r="G78" i="1"/>
  <c r="F78" i="1"/>
  <c r="G76" i="1"/>
  <c r="F76" i="1"/>
  <c r="G75" i="1"/>
  <c r="F75" i="1"/>
  <c r="G63" i="1"/>
  <c r="F63" i="1"/>
  <c r="G62" i="1"/>
  <c r="F62" i="1"/>
  <c r="G61" i="1"/>
  <c r="F61" i="1"/>
  <c r="G46" i="1"/>
  <c r="F46" i="1"/>
  <c r="G44" i="1"/>
  <c r="F44" i="1"/>
  <c r="G41" i="1"/>
  <c r="F41" i="1"/>
  <c r="G39" i="1"/>
  <c r="F39" i="1"/>
  <c r="G38" i="1"/>
  <c r="F38" i="1"/>
  <c r="G37" i="1"/>
  <c r="F37" i="1"/>
  <c r="G33" i="1"/>
  <c r="F33" i="1"/>
  <c r="G14" i="1"/>
  <c r="F14" i="1"/>
  <c r="G12" i="1"/>
  <c r="F12" i="1"/>
  <c r="F77" i="1" l="1"/>
  <c r="C123" i="1" l="1"/>
  <c r="C121" i="1"/>
  <c r="C118" i="1"/>
  <c r="C114" i="1"/>
  <c r="C92" i="1"/>
  <c r="C90" i="1"/>
  <c r="C12" i="1" s="1"/>
  <c r="E84" i="1" l="1"/>
  <c r="H84" i="1" s="1"/>
  <c r="E83" i="1"/>
  <c r="H83" i="1" s="1"/>
  <c r="E82" i="1"/>
  <c r="H82" i="1" s="1"/>
  <c r="E81" i="1"/>
  <c r="H81" i="1" s="1"/>
  <c r="E80" i="1"/>
  <c r="H80" i="1" s="1"/>
  <c r="E74" i="1"/>
  <c r="H74" i="1" s="1"/>
  <c r="E69" i="1"/>
  <c r="H69" i="1" s="1"/>
  <c r="E68" i="1"/>
  <c r="H68" i="1" s="1"/>
  <c r="E67" i="1"/>
  <c r="H67" i="1" s="1"/>
  <c r="E66" i="1"/>
  <c r="H66" i="1" s="1"/>
  <c r="E65" i="1"/>
  <c r="H65" i="1" s="1"/>
  <c r="E62" i="1"/>
  <c r="H62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49" i="1"/>
  <c r="H49" i="1" s="1"/>
  <c r="E48" i="1"/>
  <c r="H48" i="1" s="1"/>
  <c r="E47" i="1"/>
  <c r="H47" i="1" s="1"/>
  <c r="E45" i="1"/>
  <c r="H45" i="1" s="1"/>
  <c r="E43" i="1"/>
  <c r="H43" i="1" s="1"/>
  <c r="E42" i="1"/>
  <c r="H42" i="1" s="1"/>
  <c r="E39" i="1"/>
  <c r="H39" i="1" s="1"/>
  <c r="E36" i="1"/>
  <c r="H36" i="1" s="1"/>
  <c r="E35" i="1"/>
  <c r="H35" i="1" s="1"/>
  <c r="E34" i="1"/>
  <c r="H34" i="1" s="1"/>
  <c r="E32" i="1"/>
  <c r="H32" i="1" s="1"/>
  <c r="E31" i="1"/>
  <c r="H31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19" i="1"/>
  <c r="H19" i="1" s="1"/>
  <c r="E18" i="1"/>
  <c r="H18" i="1" s="1"/>
  <c r="E17" i="1"/>
  <c r="H17" i="1" s="1"/>
  <c r="E16" i="1"/>
  <c r="H16" i="1" s="1"/>
  <c r="E15" i="1"/>
  <c r="H15" i="1" s="1"/>
  <c r="E13" i="1"/>
  <c r="H13" i="1" s="1"/>
  <c r="C79" i="1"/>
  <c r="E79" i="1" s="1"/>
  <c r="H79" i="1" s="1"/>
  <c r="C78" i="1"/>
  <c r="E78" i="1" s="1"/>
  <c r="H78" i="1" s="1"/>
  <c r="C76" i="1"/>
  <c r="E76" i="1" s="1"/>
  <c r="H76" i="1" s="1"/>
  <c r="C75" i="1"/>
  <c r="E75" i="1" s="1"/>
  <c r="H75" i="1" s="1"/>
  <c r="C63" i="1"/>
  <c r="E63" i="1" s="1"/>
  <c r="H63" i="1" s="1"/>
  <c r="C62" i="1"/>
  <c r="C46" i="1"/>
  <c r="E46" i="1" s="1"/>
  <c r="H46" i="1" s="1"/>
  <c r="C44" i="1"/>
  <c r="E44" i="1" s="1"/>
  <c r="H44" i="1" s="1"/>
  <c r="C41" i="1"/>
  <c r="E41" i="1" s="1"/>
  <c r="H41" i="1" s="1"/>
  <c r="C38" i="1"/>
  <c r="E38" i="1" s="1"/>
  <c r="H38" i="1" s="1"/>
  <c r="C37" i="1"/>
  <c r="E37" i="1" s="1"/>
  <c r="H37" i="1" s="1"/>
  <c r="C33" i="1"/>
  <c r="E33" i="1" s="1"/>
  <c r="H33" i="1" s="1"/>
  <c r="C21" i="1"/>
  <c r="E21" i="1" s="1"/>
  <c r="H21" i="1" s="1"/>
  <c r="C14" i="1"/>
  <c r="E14" i="1" s="1"/>
  <c r="H14" i="1" s="1"/>
  <c r="E12" i="1"/>
  <c r="H12" i="1" s="1"/>
  <c r="C50" i="1"/>
  <c r="E72" i="1" l="1"/>
  <c r="H72" i="1" s="1"/>
  <c r="E71" i="1"/>
  <c r="H71" i="1" s="1"/>
  <c r="E70" i="1"/>
  <c r="H70" i="1" s="1"/>
  <c r="E96" i="1" l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161" i="1" l="1"/>
  <c r="H161" i="1" s="1"/>
  <c r="E160" i="1"/>
  <c r="H160" i="1" s="1"/>
  <c r="E159" i="1"/>
  <c r="H159" i="1" s="1"/>
  <c r="E158" i="1"/>
  <c r="H158" i="1" s="1"/>
  <c r="E157" i="1"/>
  <c r="H157" i="1" s="1"/>
  <c r="E156" i="1"/>
  <c r="H156" i="1" s="1"/>
  <c r="E155" i="1"/>
  <c r="H155" i="1" s="1"/>
  <c r="E153" i="1"/>
  <c r="H153" i="1" s="1"/>
  <c r="E152" i="1"/>
  <c r="H152" i="1" s="1"/>
  <c r="E151" i="1"/>
  <c r="H151" i="1" s="1"/>
  <c r="E140" i="1"/>
  <c r="H140" i="1" s="1"/>
  <c r="E139" i="1"/>
  <c r="H139" i="1" s="1"/>
  <c r="E136" i="1"/>
  <c r="E135" i="1"/>
  <c r="E134" i="1"/>
  <c r="H134" i="1" s="1"/>
  <c r="E133" i="1"/>
  <c r="E132" i="1"/>
  <c r="H132" i="1" s="1"/>
  <c r="E131" i="1"/>
  <c r="E130" i="1"/>
  <c r="H130" i="1" s="1"/>
  <c r="E129" i="1"/>
  <c r="E128" i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6" i="1"/>
  <c r="E105" i="1"/>
  <c r="E104" i="1"/>
  <c r="H104" i="1" s="1"/>
  <c r="E103" i="1"/>
  <c r="H103" i="1" s="1"/>
  <c r="E102" i="1"/>
  <c r="E101" i="1"/>
  <c r="H101" i="1" s="1"/>
  <c r="E100" i="1"/>
  <c r="H100" i="1" s="1"/>
  <c r="E99" i="1"/>
  <c r="E98" i="1"/>
  <c r="H98" i="1" s="1"/>
  <c r="H149" i="1"/>
  <c r="H148" i="1"/>
  <c r="H147" i="1"/>
  <c r="H146" i="1"/>
  <c r="H145" i="1"/>
  <c r="H144" i="1"/>
  <c r="H143" i="1"/>
  <c r="H142" i="1"/>
  <c r="H136" i="1"/>
  <c r="H135" i="1"/>
  <c r="H133" i="1"/>
  <c r="H131" i="1"/>
  <c r="H129" i="1"/>
  <c r="H128" i="1"/>
  <c r="H106" i="1"/>
  <c r="H105" i="1"/>
  <c r="H102" i="1"/>
  <c r="H99" i="1"/>
  <c r="C138" i="1"/>
  <c r="C61" i="1" s="1"/>
  <c r="E61" i="1" s="1"/>
  <c r="H61" i="1" s="1"/>
  <c r="E138" i="1" l="1"/>
  <c r="H138" i="1" s="1"/>
  <c r="C154" i="1"/>
  <c r="D154" i="1"/>
  <c r="E154" i="1"/>
  <c r="F154" i="1"/>
  <c r="G154" i="1"/>
  <c r="H154" i="1" l="1"/>
  <c r="D150" i="1"/>
  <c r="C150" i="1"/>
  <c r="G89" i="1" l="1"/>
  <c r="F89" i="1"/>
  <c r="D89" i="1"/>
  <c r="C89" i="1"/>
  <c r="D11" i="1"/>
  <c r="G73" i="1" l="1"/>
  <c r="C73" i="1"/>
  <c r="G11" i="1"/>
  <c r="F11" i="1"/>
  <c r="E89" i="1"/>
  <c r="F40" i="1"/>
  <c r="C20" i="1"/>
  <c r="D20" i="1"/>
  <c r="F20" i="1"/>
  <c r="G20" i="1"/>
  <c r="C30" i="1"/>
  <c r="D30" i="1"/>
  <c r="F30" i="1"/>
  <c r="G30" i="1"/>
  <c r="C40" i="1"/>
  <c r="D40" i="1"/>
  <c r="G40" i="1"/>
  <c r="D50" i="1"/>
  <c r="F50" i="1"/>
  <c r="G50" i="1"/>
  <c r="C60" i="1"/>
  <c r="D60" i="1"/>
  <c r="F60" i="1"/>
  <c r="G60" i="1"/>
  <c r="C64" i="1"/>
  <c r="D64" i="1"/>
  <c r="F64" i="1"/>
  <c r="G64" i="1"/>
  <c r="D73" i="1"/>
  <c r="F73" i="1"/>
  <c r="E64" i="1" l="1"/>
  <c r="H64" i="1"/>
  <c r="C11" i="1"/>
  <c r="E20" i="1"/>
  <c r="H40" i="1"/>
  <c r="H60" i="1"/>
  <c r="E60" i="1"/>
  <c r="E50" i="1"/>
  <c r="H50" i="1" s="1"/>
  <c r="E30" i="1"/>
  <c r="H30" i="1"/>
  <c r="H20" i="1"/>
  <c r="E73" i="1"/>
  <c r="H73" i="1"/>
  <c r="E40" i="1"/>
  <c r="H11" i="1" l="1"/>
  <c r="E11" i="1"/>
  <c r="H89" i="1" l="1"/>
  <c r="F141" i="1" l="1"/>
  <c r="C97" i="1" l="1"/>
  <c r="E127" i="1" l="1"/>
  <c r="D127" i="1"/>
  <c r="C127" i="1"/>
  <c r="C117" i="1"/>
  <c r="G107" i="1"/>
  <c r="D107" i="1"/>
  <c r="G97" i="1"/>
  <c r="F97" i="1"/>
  <c r="D97" i="1"/>
  <c r="E97" i="1" l="1"/>
  <c r="E107" i="1"/>
  <c r="G117" i="1"/>
  <c r="F117" i="1"/>
  <c r="F107" i="1"/>
  <c r="G77" i="1" l="1"/>
  <c r="G10" i="1" s="1"/>
  <c r="F10" i="1"/>
  <c r="D77" i="1"/>
  <c r="D10" i="1" s="1"/>
  <c r="C77" i="1"/>
  <c r="C10" i="1" s="1"/>
  <c r="H77" i="1" l="1"/>
  <c r="H10" i="1" s="1"/>
  <c r="E77" i="1"/>
  <c r="E10" i="1" s="1"/>
  <c r="F150" i="1" l="1"/>
  <c r="E141" i="1"/>
  <c r="H141" i="1" s="1"/>
  <c r="F137" i="1"/>
  <c r="F127" i="1"/>
  <c r="H127" i="1" s="1"/>
  <c r="G150" i="1"/>
  <c r="G141" i="1"/>
  <c r="D141" i="1"/>
  <c r="G137" i="1"/>
  <c r="D137" i="1"/>
  <c r="G127" i="1"/>
  <c r="D117" i="1"/>
  <c r="C141" i="1"/>
  <c r="C137" i="1"/>
  <c r="C107" i="1"/>
  <c r="D88" i="1" l="1"/>
  <c r="D163" i="1" s="1"/>
  <c r="H107" i="1"/>
  <c r="E150" i="1"/>
  <c r="E137" i="1"/>
  <c r="C88" i="1"/>
  <c r="E117" i="1"/>
  <c r="H97" i="1"/>
  <c r="G88" i="1"/>
  <c r="G163" i="1" s="1"/>
  <c r="F88" i="1"/>
  <c r="C163" i="1" l="1"/>
  <c r="F163" i="1"/>
  <c r="H137" i="1"/>
  <c r="H150" i="1"/>
  <c r="H117" i="1"/>
  <c r="E88" i="1"/>
  <c r="E163" i="1" s="1"/>
  <c r="H88" i="1" l="1"/>
  <c r="H163" i="1" s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<sst xmlns="http://schemas.openxmlformats.org/spreadsheetml/2006/main" count="165" uniqueCount="92">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</sst>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9" fillId="0" borderId="0" xfId="0" applyFont="1"/>
    <xf numFmtId="164" fontId="9" fillId="0" borderId="0" xfId="0" applyNumberFormat="1" applyFont="1"/>
    <xf numFmtId="43" fontId="7" fillId="0" borderId="0" xfId="1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view="pageBreakPreview" zoomScaleNormal="100" zoomScaleSheetLayoutView="100" workbookViewId="0">
      <selection activeCell="H12" sqref="H12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5.28515625" bestFit="1" customWidth="1"/>
    <col min="11" max="11" width="14.28515625" bestFit="1" customWidth="1"/>
    <col min="12" max="13" width="15.28515625" bestFit="1" customWidth="1"/>
    <col min="14" max="15" width="13.140625" bestFit="1" customWidth="1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11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11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11" x14ac:dyDescent="0.25">
      <c r="A4" s="39" t="s">
        <v>3</v>
      </c>
      <c r="B4" s="40"/>
      <c r="C4" s="40"/>
      <c r="D4" s="40"/>
      <c r="E4" s="40"/>
      <c r="F4" s="40"/>
      <c r="G4" s="40"/>
      <c r="H4" s="41"/>
    </row>
    <row r="5" spans="1:11" x14ac:dyDescent="0.25">
      <c r="A5" s="39" t="s">
        <v>4</v>
      </c>
      <c r="B5" s="40"/>
      <c r="C5" s="40"/>
      <c r="D5" s="40"/>
      <c r="E5" s="40"/>
      <c r="F5" s="40"/>
      <c r="G5" s="40"/>
      <c r="H5" s="41"/>
    </row>
    <row r="6" spans="1:11" x14ac:dyDescent="0.25">
      <c r="A6" s="39" t="s">
        <v>91</v>
      </c>
      <c r="B6" s="40"/>
      <c r="C6" s="40"/>
      <c r="D6" s="40"/>
      <c r="E6" s="40"/>
      <c r="F6" s="40"/>
      <c r="G6" s="40"/>
      <c r="H6" s="41"/>
    </row>
    <row r="7" spans="1:11" x14ac:dyDescent="0.25">
      <c r="A7" s="42" t="s">
        <v>5</v>
      </c>
      <c r="B7" s="43"/>
      <c r="C7" s="43"/>
      <c r="D7" s="43"/>
      <c r="E7" s="43"/>
      <c r="F7" s="43"/>
      <c r="G7" s="43"/>
      <c r="H7" s="44"/>
    </row>
    <row r="8" spans="1:11" x14ac:dyDescent="0.25">
      <c r="A8" s="45" t="s">
        <v>6</v>
      </c>
      <c r="B8" s="45"/>
      <c r="C8" s="45" t="s">
        <v>7</v>
      </c>
      <c r="D8" s="45"/>
      <c r="E8" s="45"/>
      <c r="F8" s="45"/>
      <c r="G8" s="45"/>
      <c r="H8" s="45" t="s">
        <v>8</v>
      </c>
    </row>
    <row r="9" spans="1:11" ht="18" x14ac:dyDescent="0.25">
      <c r="A9" s="45"/>
      <c r="B9" s="45"/>
      <c r="C9" s="17" t="s">
        <v>9</v>
      </c>
      <c r="D9" s="1" t="s">
        <v>10</v>
      </c>
      <c r="E9" s="17" t="s">
        <v>11</v>
      </c>
      <c r="F9" s="17" t="s">
        <v>12</v>
      </c>
      <c r="G9" s="17" t="s">
        <v>13</v>
      </c>
      <c r="H9" s="45"/>
    </row>
    <row r="10" spans="1:11" x14ac:dyDescent="0.25">
      <c r="A10" s="46" t="s">
        <v>14</v>
      </c>
      <c r="B10" s="47"/>
      <c r="C10" s="13">
        <f>+C11+C20+C30+C40+C50+C60+C64+C73+C77</f>
        <v>157614254.30970997</v>
      </c>
      <c r="D10" s="13">
        <f t="shared" ref="D10:G10" si="0">+D11+D20+D30+D40+D50+D60+D64+D73+D77</f>
        <v>11848013.144439999</v>
      </c>
      <c r="E10" s="13">
        <f t="shared" si="0"/>
        <v>169462267.45414996</v>
      </c>
      <c r="F10" s="13">
        <f>+F11+F20+F30+F40+F50+F60+F64+F73+F77</f>
        <v>122747056.94603001</v>
      </c>
      <c r="G10" s="13">
        <f t="shared" si="0"/>
        <v>120286104.05034001</v>
      </c>
      <c r="H10" s="13">
        <f>+H11+H20+H30+H40+H50+H60+H64+H73+H77</f>
        <v>46715210.508119985</v>
      </c>
      <c r="J10" s="14"/>
      <c r="K10" s="14"/>
    </row>
    <row r="11" spans="1:11" x14ac:dyDescent="0.25">
      <c r="A11" s="32" t="s">
        <v>15</v>
      </c>
      <c r="B11" s="33"/>
      <c r="C11" s="10">
        <f>SUM(C12:C19)</f>
        <v>51114075.445</v>
      </c>
      <c r="D11" s="10">
        <f t="shared" ref="D11:H11" si="1">SUM(D12:D19)</f>
        <v>301847.01200999995</v>
      </c>
      <c r="E11" s="10">
        <f t="shared" si="1"/>
        <v>51415922.457009993</v>
      </c>
      <c r="F11" s="10">
        <f t="shared" si="1"/>
        <v>31762871.658429999</v>
      </c>
      <c r="G11" s="10">
        <f t="shared" si="1"/>
        <v>31762871.658429999</v>
      </c>
      <c r="H11" s="10">
        <f t="shared" si="1"/>
        <v>19653050.798579998</v>
      </c>
      <c r="I11" s="14"/>
      <c r="J11" s="14"/>
    </row>
    <row r="12" spans="1:11" x14ac:dyDescent="0.25">
      <c r="A12" s="15"/>
      <c r="B12" s="16" t="s">
        <v>16</v>
      </c>
      <c r="C12" s="8">
        <f>22677652.52186-C90+5546324.9</f>
        <v>20065071.221859999</v>
      </c>
      <c r="D12" s="10">
        <v>53860.460370000015</v>
      </c>
      <c r="E12" s="10">
        <f>+C12+D12</f>
        <v>20118931.682229999</v>
      </c>
      <c r="F12" s="10">
        <f>17141713.4926-F90</f>
        <v>10998623.692600001</v>
      </c>
      <c r="G12" s="10">
        <f>17141713.4926-G90</f>
        <v>10998623.692600001</v>
      </c>
      <c r="H12" s="10">
        <f>+E12-F12</f>
        <v>9120307.9896299988</v>
      </c>
    </row>
    <row r="13" spans="1:11" x14ac:dyDescent="0.25">
      <c r="A13" s="15"/>
      <c r="B13" s="16" t="s">
        <v>17</v>
      </c>
      <c r="C13" s="8">
        <v>359824.93357000005</v>
      </c>
      <c r="D13" s="10">
        <v>-6549.3642900000013</v>
      </c>
      <c r="E13" s="10">
        <f t="shared" ref="E13:E19" si="2">+C13+D13</f>
        <v>353275.56928000005</v>
      </c>
      <c r="F13" s="10">
        <v>81300.236410000012</v>
      </c>
      <c r="G13" s="10">
        <v>81300.236410000012</v>
      </c>
      <c r="H13" s="10">
        <f t="shared" ref="H13:H19" si="3">+E13-F13</f>
        <v>271975.33287000004</v>
      </c>
      <c r="J13" s="14"/>
    </row>
    <row r="14" spans="1:11" x14ac:dyDescent="0.25">
      <c r="A14" s="15"/>
      <c r="B14" s="16" t="s">
        <v>18</v>
      </c>
      <c r="C14" s="8">
        <f>17151665.36553-C92</f>
        <v>17012277.265529998</v>
      </c>
      <c r="D14" s="10">
        <v>211267.70187999998</v>
      </c>
      <c r="E14" s="10">
        <f t="shared" si="2"/>
        <v>17223544.967409998</v>
      </c>
      <c r="F14" s="10">
        <f>10412130.57799-F92</f>
        <v>10308048.37799</v>
      </c>
      <c r="G14" s="10">
        <f>10412130.57799-G92</f>
        <v>10308048.37799</v>
      </c>
      <c r="H14" s="10">
        <f t="shared" si="3"/>
        <v>6915496.5894199982</v>
      </c>
    </row>
    <row r="15" spans="1:11" x14ac:dyDescent="0.25">
      <c r="A15" s="15"/>
      <c r="B15" s="16" t="s">
        <v>19</v>
      </c>
      <c r="C15" s="8">
        <v>5429670.1242600009</v>
      </c>
      <c r="D15" s="10">
        <v>14976.874059999991</v>
      </c>
      <c r="E15" s="10">
        <f t="shared" si="2"/>
        <v>5444646.9983200012</v>
      </c>
      <c r="F15" s="10">
        <v>4936154.5126999998</v>
      </c>
      <c r="G15" s="10">
        <v>4936154.5126999998</v>
      </c>
      <c r="H15" s="10">
        <f t="shared" si="3"/>
        <v>508492.48562000133</v>
      </c>
    </row>
    <row r="16" spans="1:11" x14ac:dyDescent="0.25">
      <c r="A16" s="15"/>
      <c r="B16" s="16" t="s">
        <v>20</v>
      </c>
      <c r="C16" s="8">
        <v>7989434.3768500006</v>
      </c>
      <c r="D16" s="10">
        <v>26891.031010000002</v>
      </c>
      <c r="E16" s="10">
        <f t="shared" si="2"/>
        <v>8016325.4078600006</v>
      </c>
      <c r="F16" s="10">
        <v>5352000.1600699993</v>
      </c>
      <c r="G16" s="10">
        <v>5352000.1600699993</v>
      </c>
      <c r="H16" s="10">
        <f t="shared" si="3"/>
        <v>2664325.2477900013</v>
      </c>
    </row>
    <row r="17" spans="1:10" x14ac:dyDescent="0.25">
      <c r="A17" s="15"/>
      <c r="B17" s="16" t="s">
        <v>21</v>
      </c>
      <c r="C17" s="8">
        <v>23234.859540000001</v>
      </c>
      <c r="D17" s="10">
        <v>1401</v>
      </c>
      <c r="E17" s="10">
        <f t="shared" si="2"/>
        <v>24635.859540000001</v>
      </c>
      <c r="F17" s="10">
        <v>0</v>
      </c>
      <c r="G17" s="10">
        <v>0</v>
      </c>
      <c r="H17" s="10">
        <f t="shared" si="3"/>
        <v>24635.859540000001</v>
      </c>
    </row>
    <row r="18" spans="1:10" x14ac:dyDescent="0.25">
      <c r="A18" s="15"/>
      <c r="B18" s="16" t="s">
        <v>22</v>
      </c>
      <c r="C18" s="10">
        <v>234562.66339</v>
      </c>
      <c r="D18" s="10">
        <v>-0.69101999999975305</v>
      </c>
      <c r="E18" s="10">
        <f t="shared" si="2"/>
        <v>234561.97237</v>
      </c>
      <c r="F18" s="10">
        <v>86744.678660000005</v>
      </c>
      <c r="G18" s="10">
        <v>86744.678660000005</v>
      </c>
      <c r="H18" s="10">
        <f t="shared" si="3"/>
        <v>147817.29371</v>
      </c>
    </row>
    <row r="19" spans="1:10" x14ac:dyDescent="0.25">
      <c r="A19" s="15"/>
      <c r="B19" s="16" t="s">
        <v>23</v>
      </c>
      <c r="C19" s="19">
        <v>0</v>
      </c>
      <c r="D19" s="19">
        <v>0</v>
      </c>
      <c r="E19" s="10">
        <f t="shared" si="2"/>
        <v>0</v>
      </c>
      <c r="F19" s="19">
        <v>0</v>
      </c>
      <c r="G19" s="19">
        <v>0</v>
      </c>
      <c r="H19" s="10">
        <f t="shared" si="3"/>
        <v>0</v>
      </c>
    </row>
    <row r="20" spans="1:10" x14ac:dyDescent="0.25">
      <c r="A20" s="32" t="s">
        <v>24</v>
      </c>
      <c r="B20" s="33"/>
      <c r="C20" s="10">
        <f>SUM(C21:C29)</f>
        <v>2010410.8030000003</v>
      </c>
      <c r="D20" s="10">
        <f t="shared" ref="D20" si="4">SUM(D21:D29)</f>
        <v>89881.579559999984</v>
      </c>
      <c r="E20" s="10">
        <f t="shared" ref="E20:E29" si="5">+C20+D20</f>
        <v>2100292.3825600003</v>
      </c>
      <c r="F20" s="10">
        <f>SUM(F21:F29)</f>
        <v>880817.61791000026</v>
      </c>
      <c r="G20" s="10">
        <f>SUM(G21:G29)</f>
        <v>875578.27258000011</v>
      </c>
      <c r="H20" s="10">
        <f>SUM(H21:H29)</f>
        <v>1219474.76465</v>
      </c>
    </row>
    <row r="21" spans="1:10" x14ac:dyDescent="0.25">
      <c r="A21" s="15"/>
      <c r="B21" s="16" t="s">
        <v>25</v>
      </c>
      <c r="C21" s="10">
        <f>296572.53776-C98</f>
        <v>296572.53775999998</v>
      </c>
      <c r="D21" s="10">
        <v>33408.283370000005</v>
      </c>
      <c r="E21" s="10">
        <f t="shared" si="5"/>
        <v>329980.82113</v>
      </c>
      <c r="F21" s="10">
        <v>78011.617709999991</v>
      </c>
      <c r="G21" s="10">
        <v>77127.085000000006</v>
      </c>
      <c r="H21" s="10">
        <f t="shared" ref="H21:H29" si="6">+E21-F21</f>
        <v>251969.20342000001</v>
      </c>
    </row>
    <row r="22" spans="1:10" x14ac:dyDescent="0.25">
      <c r="A22" s="15"/>
      <c r="B22" s="16" t="s">
        <v>26</v>
      </c>
      <c r="C22" s="10">
        <v>962414.0949100001</v>
      </c>
      <c r="D22" s="10">
        <v>-79176.647150000004</v>
      </c>
      <c r="E22" s="10">
        <f t="shared" si="5"/>
        <v>883237.44776000013</v>
      </c>
      <c r="F22" s="10">
        <v>473813.90043000004</v>
      </c>
      <c r="G22" s="10">
        <v>473713.39491000009</v>
      </c>
      <c r="H22" s="10">
        <f t="shared" si="6"/>
        <v>409423.54733000009</v>
      </c>
    </row>
    <row r="23" spans="1:10" x14ac:dyDescent="0.25">
      <c r="A23" s="15"/>
      <c r="B23" s="16" t="s">
        <v>27</v>
      </c>
      <c r="C23" s="10">
        <v>1148.2249800000002</v>
      </c>
      <c r="D23" s="10">
        <v>200</v>
      </c>
      <c r="E23" s="10">
        <f t="shared" si="5"/>
        <v>1348.2249800000002</v>
      </c>
      <c r="F23" s="10">
        <v>1024.52575</v>
      </c>
      <c r="G23" s="10">
        <v>1024.24944</v>
      </c>
      <c r="H23" s="10">
        <f t="shared" si="6"/>
        <v>323.69923000000017</v>
      </c>
    </row>
    <row r="24" spans="1:10" x14ac:dyDescent="0.25">
      <c r="A24" s="15"/>
      <c r="B24" s="16" t="s">
        <v>28</v>
      </c>
      <c r="C24" s="10">
        <v>84880.411210000006</v>
      </c>
      <c r="D24" s="10">
        <v>6009.2947600000025</v>
      </c>
      <c r="E24" s="10">
        <f t="shared" si="5"/>
        <v>90889.70597000001</v>
      </c>
      <c r="F24" s="10">
        <v>22377.698090000005</v>
      </c>
      <c r="G24" s="10">
        <v>21345.452900000004</v>
      </c>
      <c r="H24" s="10">
        <f t="shared" si="6"/>
        <v>68512.007880000005</v>
      </c>
    </row>
    <row r="25" spans="1:10" x14ac:dyDescent="0.25">
      <c r="A25" s="15"/>
      <c r="B25" s="16" t="s">
        <v>29</v>
      </c>
      <c r="C25" s="10">
        <v>19805.763060000001</v>
      </c>
      <c r="D25" s="10">
        <v>1581.6454900000003</v>
      </c>
      <c r="E25" s="10">
        <f t="shared" si="5"/>
        <v>21387.40855</v>
      </c>
      <c r="F25" s="10">
        <v>2915.5134900000007</v>
      </c>
      <c r="G25" s="10">
        <v>2866.7713700000004</v>
      </c>
      <c r="H25" s="10">
        <f t="shared" si="6"/>
        <v>18471.895059999999</v>
      </c>
    </row>
    <row r="26" spans="1:10" x14ac:dyDescent="0.25">
      <c r="A26" s="15"/>
      <c r="B26" s="16" t="s">
        <v>30</v>
      </c>
      <c r="C26" s="10">
        <v>446368.99711000005</v>
      </c>
      <c r="D26" s="10">
        <v>6699.8717300000008</v>
      </c>
      <c r="E26" s="10">
        <f t="shared" si="5"/>
        <v>453068.86884000007</v>
      </c>
      <c r="F26" s="10">
        <v>273607.96762000007</v>
      </c>
      <c r="G26" s="10">
        <v>271006.52426000003</v>
      </c>
      <c r="H26" s="10">
        <f t="shared" si="6"/>
        <v>179460.90122</v>
      </c>
    </row>
    <row r="27" spans="1:10" x14ac:dyDescent="0.25">
      <c r="A27" s="15"/>
      <c r="B27" s="16" t="s">
        <v>31</v>
      </c>
      <c r="C27" s="10">
        <v>165179.02208000005</v>
      </c>
      <c r="D27" s="10">
        <v>105957.87632</v>
      </c>
      <c r="E27" s="10">
        <f t="shared" si="5"/>
        <v>271136.89840000006</v>
      </c>
      <c r="F27" s="10">
        <v>16899.217550000005</v>
      </c>
      <c r="G27" s="10">
        <v>16760.684620000004</v>
      </c>
      <c r="H27" s="10">
        <f t="shared" si="6"/>
        <v>254237.68085000006</v>
      </c>
    </row>
    <row r="28" spans="1:10" x14ac:dyDescent="0.25">
      <c r="A28" s="15"/>
      <c r="B28" s="16" t="s">
        <v>32</v>
      </c>
      <c r="C28" s="10">
        <v>1071.3036100000002</v>
      </c>
      <c r="D28" s="10">
        <v>-13.039000000000001</v>
      </c>
      <c r="E28" s="10">
        <f t="shared" si="5"/>
        <v>1058.2646100000002</v>
      </c>
      <c r="F28" s="10">
        <v>15.027800000000001</v>
      </c>
      <c r="G28" s="10">
        <v>15.027800000000001</v>
      </c>
      <c r="H28" s="10">
        <f t="shared" si="6"/>
        <v>1043.2368100000001</v>
      </c>
    </row>
    <row r="29" spans="1:10" x14ac:dyDescent="0.25">
      <c r="A29" s="15"/>
      <c r="B29" s="16" t="s">
        <v>33</v>
      </c>
      <c r="C29" s="10">
        <v>32970.448280000004</v>
      </c>
      <c r="D29" s="10">
        <v>15214.294040000001</v>
      </c>
      <c r="E29" s="10">
        <f t="shared" si="5"/>
        <v>48184.742320000005</v>
      </c>
      <c r="F29" s="10">
        <v>12152.14947</v>
      </c>
      <c r="G29" s="10">
        <v>11719.082280000001</v>
      </c>
      <c r="H29" s="10">
        <f t="shared" si="6"/>
        <v>36032.592850000001</v>
      </c>
    </row>
    <row r="30" spans="1:10" x14ac:dyDescent="0.25">
      <c r="A30" s="32" t="s">
        <v>34</v>
      </c>
      <c r="B30" s="33"/>
      <c r="C30" s="10">
        <f t="shared" ref="C30:H30" si="7">SUM(C31:C39)</f>
        <v>7236722.5089999996</v>
      </c>
      <c r="D30" s="10">
        <f t="shared" si="7"/>
        <v>1478386.4968399997</v>
      </c>
      <c r="E30" s="10">
        <f t="shared" si="7"/>
        <v>8715109.0058399998</v>
      </c>
      <c r="F30" s="10">
        <f t="shared" si="7"/>
        <v>4823468.3465700001</v>
      </c>
      <c r="G30" s="10">
        <f t="shared" si="7"/>
        <v>4441863.7262800001</v>
      </c>
      <c r="H30" s="10">
        <f t="shared" si="7"/>
        <v>3891640.6592700006</v>
      </c>
      <c r="J30" s="14"/>
    </row>
    <row r="31" spans="1:10" x14ac:dyDescent="0.25">
      <c r="A31" s="15"/>
      <c r="B31" s="16" t="s">
        <v>35</v>
      </c>
      <c r="C31" s="10">
        <v>606842.45542000013</v>
      </c>
      <c r="D31" s="10">
        <v>-7538.8256400000027</v>
      </c>
      <c r="E31" s="10">
        <f t="shared" ref="E31:E39" si="8">+C31+D31</f>
        <v>599303.62978000008</v>
      </c>
      <c r="F31" s="10">
        <v>259274.94728000002</v>
      </c>
      <c r="G31" s="10">
        <v>249641.27517000004</v>
      </c>
      <c r="H31" s="10">
        <f t="shared" ref="H31:H39" si="9">+E31-F31</f>
        <v>340028.68250000005</v>
      </c>
    </row>
    <row r="32" spans="1:10" x14ac:dyDescent="0.25">
      <c r="A32" s="15"/>
      <c r="B32" s="16" t="s">
        <v>36</v>
      </c>
      <c r="C32" s="10">
        <v>533135.4839900001</v>
      </c>
      <c r="D32" s="10">
        <v>218394.37530000007</v>
      </c>
      <c r="E32" s="10">
        <f t="shared" si="8"/>
        <v>751529.85929000017</v>
      </c>
      <c r="F32" s="10">
        <v>234317.29658000005</v>
      </c>
      <c r="G32" s="10">
        <v>222701.52783000004</v>
      </c>
      <c r="H32" s="10">
        <f t="shared" si="9"/>
        <v>517212.56271000009</v>
      </c>
    </row>
    <row r="33" spans="1:10" x14ac:dyDescent="0.25">
      <c r="A33" s="15"/>
      <c r="B33" s="16" t="s">
        <v>37</v>
      </c>
      <c r="C33" s="10">
        <f>2912473.79483-C110</f>
        <v>2911624.5948299998</v>
      </c>
      <c r="D33" s="10">
        <v>790011.47860999987</v>
      </c>
      <c r="E33" s="10">
        <f t="shared" si="8"/>
        <v>3701636.0734399995</v>
      </c>
      <c r="F33" s="10">
        <f>856415.84673-F110</f>
        <v>856405.64673000004</v>
      </c>
      <c r="G33" s="10">
        <f>603706.47889-G110</f>
        <v>603696.27889000007</v>
      </c>
      <c r="H33" s="10">
        <f t="shared" si="9"/>
        <v>2845230.4267099993</v>
      </c>
    </row>
    <row r="34" spans="1:10" x14ac:dyDescent="0.25">
      <c r="A34" s="15"/>
      <c r="B34" s="16" t="s">
        <v>38</v>
      </c>
      <c r="C34" s="10">
        <v>929649.91399999999</v>
      </c>
      <c r="D34" s="10">
        <v>-586.00399999999991</v>
      </c>
      <c r="E34" s="10">
        <f t="shared" si="8"/>
        <v>929063.91</v>
      </c>
      <c r="F34" s="10">
        <v>318014.54228000005</v>
      </c>
      <c r="G34" s="10">
        <v>255774.74061000001</v>
      </c>
      <c r="H34" s="10">
        <f t="shared" si="9"/>
        <v>611049.36771999998</v>
      </c>
    </row>
    <row r="35" spans="1:10" x14ac:dyDescent="0.25">
      <c r="A35" s="15"/>
      <c r="B35" s="16" t="s">
        <v>39</v>
      </c>
      <c r="C35" s="10">
        <v>574868.16671000002</v>
      </c>
      <c r="D35" s="10">
        <v>73325.803960000034</v>
      </c>
      <c r="E35" s="10">
        <f t="shared" si="8"/>
        <v>648193.97067000007</v>
      </c>
      <c r="F35" s="10">
        <v>521212.94740999996</v>
      </c>
      <c r="G35" s="10">
        <v>499390.85201999999</v>
      </c>
      <c r="H35" s="10">
        <f t="shared" si="9"/>
        <v>126981.0232600001</v>
      </c>
    </row>
    <row r="36" spans="1:10" x14ac:dyDescent="0.25">
      <c r="A36" s="15"/>
      <c r="B36" s="16" t="s">
        <v>40</v>
      </c>
      <c r="C36" s="10">
        <v>284371.88376000006</v>
      </c>
      <c r="D36" s="10">
        <v>154250.886</v>
      </c>
      <c r="E36" s="10">
        <f t="shared" si="8"/>
        <v>438622.76976000005</v>
      </c>
      <c r="F36" s="10">
        <v>250631.96452000004</v>
      </c>
      <c r="G36" s="10">
        <v>250577.91432000004</v>
      </c>
      <c r="H36" s="10">
        <f t="shared" si="9"/>
        <v>187990.80524000002</v>
      </c>
    </row>
    <row r="37" spans="1:10" x14ac:dyDescent="0.25">
      <c r="A37" s="15"/>
      <c r="B37" s="16" t="s">
        <v>41</v>
      </c>
      <c r="C37" s="10">
        <f>112267.58992-C114</f>
        <v>111480.28992</v>
      </c>
      <c r="D37" s="10">
        <v>7178.8357400000014</v>
      </c>
      <c r="E37" s="10">
        <f t="shared" si="8"/>
        <v>118659.12565999999</v>
      </c>
      <c r="F37" s="10">
        <f>20131.54898-F114</f>
        <v>19357.348979999999</v>
      </c>
      <c r="G37" s="10">
        <f>19775.26747-G114</f>
        <v>19001.067469999998</v>
      </c>
      <c r="H37" s="10">
        <f t="shared" si="9"/>
        <v>99301.776679999995</v>
      </c>
    </row>
    <row r="38" spans="1:10" x14ac:dyDescent="0.25">
      <c r="A38" s="15"/>
      <c r="B38" s="16" t="s">
        <v>42</v>
      </c>
      <c r="C38" s="10">
        <f>223227.21296-C115</f>
        <v>223086.71296</v>
      </c>
      <c r="D38" s="10">
        <v>111526.72109000001</v>
      </c>
      <c r="E38" s="10">
        <f t="shared" si="8"/>
        <v>334613.43405000004</v>
      </c>
      <c r="F38" s="10">
        <f>75492.66099-F115</f>
        <v>75352.160990000004</v>
      </c>
      <c r="G38" s="10">
        <f>54703.18317-G115</f>
        <v>54562.683169999997</v>
      </c>
      <c r="H38" s="10">
        <f t="shared" si="9"/>
        <v>259261.27306000004</v>
      </c>
    </row>
    <row r="39" spans="1:10" x14ac:dyDescent="0.25">
      <c r="A39" s="15"/>
      <c r="B39" s="16" t="s">
        <v>43</v>
      </c>
      <c r="C39" s="10">
        <v>1061663.0074100001</v>
      </c>
      <c r="D39" s="10">
        <v>131823.22578000004</v>
      </c>
      <c r="E39" s="10">
        <f t="shared" si="8"/>
        <v>1193486.2331900001</v>
      </c>
      <c r="F39" s="10">
        <f>2288902.9918-F116</f>
        <v>2288901.4918</v>
      </c>
      <c r="G39" s="10">
        <f>2286518.8868-G116</f>
        <v>2286517.3868</v>
      </c>
      <c r="H39" s="10">
        <f t="shared" si="9"/>
        <v>-1095415.2586099999</v>
      </c>
    </row>
    <row r="40" spans="1:10" x14ac:dyDescent="0.25">
      <c r="A40" s="32" t="s">
        <v>44</v>
      </c>
      <c r="B40" s="33"/>
      <c r="C40" s="10">
        <f>SUM(C41:C49)</f>
        <v>44083208.021999992</v>
      </c>
      <c r="D40" s="10">
        <f t="shared" ref="D40:H40" si="10">SUM(D41:D49)</f>
        <v>9833989.637529999</v>
      </c>
      <c r="E40" s="10">
        <f t="shared" si="10"/>
        <v>53917197.659529991</v>
      </c>
      <c r="F40" s="10">
        <f t="shared" si="10"/>
        <v>31285789.267840005</v>
      </c>
      <c r="G40" s="10">
        <f t="shared" si="10"/>
        <v>31227673.970670011</v>
      </c>
      <c r="H40" s="10">
        <f t="shared" si="10"/>
        <v>22631408.391689993</v>
      </c>
      <c r="J40" s="14"/>
    </row>
    <row r="41" spans="1:10" x14ac:dyDescent="0.25">
      <c r="A41" s="15"/>
      <c r="B41" s="16" t="s">
        <v>45</v>
      </c>
      <c r="C41" s="10">
        <f>16886497.371-C118</f>
        <v>14711292.370999999</v>
      </c>
      <c r="D41" s="10">
        <v>0</v>
      </c>
      <c r="E41" s="10">
        <f t="shared" ref="E41:E49" si="11">+C41+D41</f>
        <v>14711292.370999999</v>
      </c>
      <c r="F41" s="10">
        <f>12183754.40127-F118</f>
        <v>10718674.50127</v>
      </c>
      <c r="G41" s="10">
        <f>12159169.74582-G118</f>
        <v>10694089.84582</v>
      </c>
      <c r="H41" s="10">
        <f t="shared" ref="H41:H49" si="12">+E41-F41</f>
        <v>3992617.8697299995</v>
      </c>
    </row>
    <row r="42" spans="1:10" x14ac:dyDescent="0.25">
      <c r="A42" s="15"/>
      <c r="B42" s="16" t="s">
        <v>46</v>
      </c>
      <c r="C42" s="10">
        <v>0</v>
      </c>
      <c r="D42" s="10">
        <v>0</v>
      </c>
      <c r="E42" s="10">
        <f t="shared" si="11"/>
        <v>0</v>
      </c>
      <c r="F42" s="10">
        <v>0</v>
      </c>
      <c r="G42" s="10">
        <v>0</v>
      </c>
      <c r="H42" s="10">
        <f t="shared" si="12"/>
        <v>0</v>
      </c>
    </row>
    <row r="43" spans="1:10" x14ac:dyDescent="0.25">
      <c r="A43" s="15"/>
      <c r="B43" s="16" t="s">
        <v>47</v>
      </c>
      <c r="C43" s="10">
        <v>5475915.3796000006</v>
      </c>
      <c r="D43" s="10">
        <v>-88651.691090000022</v>
      </c>
      <c r="E43" s="10">
        <f t="shared" si="11"/>
        <v>5387263.6885100007</v>
      </c>
      <c r="F43" s="10">
        <v>5074926.0267200004</v>
      </c>
      <c r="G43" s="10">
        <v>5074926.0267200004</v>
      </c>
      <c r="H43" s="10">
        <f t="shared" si="12"/>
        <v>312337.66179000027</v>
      </c>
    </row>
    <row r="44" spans="1:10" x14ac:dyDescent="0.25">
      <c r="A44" s="15"/>
      <c r="B44" s="16" t="s">
        <v>48</v>
      </c>
      <c r="C44" s="10">
        <f>2148071.634-C121</f>
        <v>1267626.6340000001</v>
      </c>
      <c r="D44" s="10">
        <v>785101.79002000007</v>
      </c>
      <c r="E44" s="10">
        <f t="shared" si="11"/>
        <v>2052728.4240200003</v>
      </c>
      <c r="F44" s="10">
        <f>1941527.34674-F121</f>
        <v>1354653.64674</v>
      </c>
      <c r="G44" s="10">
        <f>1939042.18894-G121</f>
        <v>1352168.4889400001</v>
      </c>
      <c r="H44" s="10">
        <f t="shared" si="12"/>
        <v>698074.77728000027</v>
      </c>
    </row>
    <row r="45" spans="1:10" x14ac:dyDescent="0.25">
      <c r="A45" s="15"/>
      <c r="B45" s="16" t="s">
        <v>49</v>
      </c>
      <c r="C45" s="10">
        <v>30363.593000000001</v>
      </c>
      <c r="D45" s="10">
        <v>0</v>
      </c>
      <c r="E45" s="10">
        <f t="shared" si="11"/>
        <v>30363.593000000001</v>
      </c>
      <c r="F45" s="10">
        <v>13302.563440000002</v>
      </c>
      <c r="G45" s="10">
        <v>10575.45757</v>
      </c>
      <c r="H45" s="10">
        <f t="shared" si="12"/>
        <v>17061.029559999999</v>
      </c>
    </row>
    <row r="46" spans="1:10" x14ac:dyDescent="0.25">
      <c r="A46" s="15"/>
      <c r="B46" s="16" t="s">
        <v>50</v>
      </c>
      <c r="C46" s="10">
        <f>71413964.7348-C123</f>
        <v>22405647.234799996</v>
      </c>
      <c r="D46" s="10">
        <v>9094091.2246000003</v>
      </c>
      <c r="E46" s="10">
        <f t="shared" si="11"/>
        <v>31499738.459399998</v>
      </c>
      <c r="F46" s="10">
        <f>48825530.62667-F123</f>
        <v>13996829.826670006</v>
      </c>
      <c r="G46" s="10">
        <f>48797212.24862-G123</f>
        <v>13968511.448620006</v>
      </c>
      <c r="H46" s="10">
        <f t="shared" si="12"/>
        <v>17502908.632729992</v>
      </c>
    </row>
    <row r="47" spans="1:10" x14ac:dyDescent="0.25">
      <c r="A47" s="15"/>
      <c r="B47" s="16" t="s">
        <v>51</v>
      </c>
      <c r="C47" s="19">
        <v>0</v>
      </c>
      <c r="D47" s="19">
        <v>0</v>
      </c>
      <c r="E47" s="10">
        <f t="shared" si="11"/>
        <v>0</v>
      </c>
      <c r="F47" s="19">
        <v>0</v>
      </c>
      <c r="G47" s="19">
        <v>0</v>
      </c>
      <c r="H47" s="10">
        <f t="shared" si="12"/>
        <v>0</v>
      </c>
    </row>
    <row r="48" spans="1:10" x14ac:dyDescent="0.25">
      <c r="A48" s="15"/>
      <c r="B48" s="16" t="s">
        <v>52</v>
      </c>
      <c r="C48" s="19">
        <v>192362.80960000004</v>
      </c>
      <c r="D48" s="19">
        <v>43448.313999999998</v>
      </c>
      <c r="E48" s="10">
        <f t="shared" si="11"/>
        <v>235811.12360000005</v>
      </c>
      <c r="F48" s="19">
        <v>127402.70299999999</v>
      </c>
      <c r="G48" s="19">
        <v>127402.70299999999</v>
      </c>
      <c r="H48" s="10">
        <f t="shared" si="12"/>
        <v>108408.42060000006</v>
      </c>
    </row>
    <row r="49" spans="1:10" x14ac:dyDescent="0.25">
      <c r="A49" s="15"/>
      <c r="B49" s="16" t="s">
        <v>53</v>
      </c>
      <c r="C49" s="19">
        <v>0</v>
      </c>
      <c r="D49" s="19">
        <v>0</v>
      </c>
      <c r="E49" s="10">
        <f t="shared" si="11"/>
        <v>0</v>
      </c>
      <c r="F49" s="19">
        <v>0</v>
      </c>
      <c r="G49" s="19">
        <v>0</v>
      </c>
      <c r="H49" s="10">
        <f t="shared" si="12"/>
        <v>0</v>
      </c>
    </row>
    <row r="50" spans="1:10" x14ac:dyDescent="0.25">
      <c r="A50" s="32" t="s">
        <v>54</v>
      </c>
      <c r="B50" s="33"/>
      <c r="C50" s="10">
        <f>SUM(C51:C59)</f>
        <v>4024.5807100000002</v>
      </c>
      <c r="D50" s="10">
        <f t="shared" ref="D50:G50" si="13">SUM(D51:D59)</f>
        <v>153908.41849999997</v>
      </c>
      <c r="E50" s="10">
        <f t="shared" si="13"/>
        <v>157932.99920999995</v>
      </c>
      <c r="F50" s="10">
        <f t="shared" si="13"/>
        <v>3134.4198000000006</v>
      </c>
      <c r="G50" s="10">
        <f t="shared" si="13"/>
        <v>2682.0478000000007</v>
      </c>
      <c r="H50" s="10">
        <f>+E50-F50</f>
        <v>154798.57940999995</v>
      </c>
    </row>
    <row r="51" spans="1:10" x14ac:dyDescent="0.25">
      <c r="A51" s="15"/>
      <c r="B51" s="16" t="s">
        <v>55</v>
      </c>
      <c r="C51" s="10">
        <v>-12406.472290000002</v>
      </c>
      <c r="D51" s="10">
        <v>145363.9325</v>
      </c>
      <c r="E51" s="10">
        <f t="shared" ref="E51:E59" si="14">+C51+D51</f>
        <v>132957.46020999999</v>
      </c>
      <c r="F51" s="10">
        <v>2623.9020200000004</v>
      </c>
      <c r="G51" s="10">
        <v>2236.6800200000007</v>
      </c>
      <c r="H51" s="10">
        <f t="shared" ref="H51:H59" si="15">+E51-F51</f>
        <v>130333.55819</v>
      </c>
    </row>
    <row r="52" spans="1:10" x14ac:dyDescent="0.25">
      <c r="A52" s="15"/>
      <c r="B52" s="16" t="s">
        <v>56</v>
      </c>
      <c r="C52" s="10">
        <v>477.28242999999998</v>
      </c>
      <c r="D52" s="10">
        <v>360</v>
      </c>
      <c r="E52" s="10">
        <f t="shared" si="14"/>
        <v>837.28242999999998</v>
      </c>
      <c r="F52" s="10">
        <v>367.82143000000008</v>
      </c>
      <c r="G52" s="10">
        <v>321.82143000000008</v>
      </c>
      <c r="H52" s="10">
        <f t="shared" si="15"/>
        <v>469.4609999999999</v>
      </c>
    </row>
    <row r="53" spans="1:10" x14ac:dyDescent="0.25">
      <c r="A53" s="15"/>
      <c r="B53" s="16" t="s">
        <v>57</v>
      </c>
      <c r="C53" s="19">
        <v>0</v>
      </c>
      <c r="D53" s="19">
        <v>3018.6860000000001</v>
      </c>
      <c r="E53" s="10">
        <f t="shared" si="14"/>
        <v>3018.6860000000001</v>
      </c>
      <c r="F53" s="19">
        <v>0</v>
      </c>
      <c r="G53" s="19">
        <v>0</v>
      </c>
      <c r="H53" s="10">
        <f t="shared" si="15"/>
        <v>3018.6860000000001</v>
      </c>
    </row>
    <row r="54" spans="1:10" x14ac:dyDescent="0.25">
      <c r="A54" s="15"/>
      <c r="B54" s="16" t="s">
        <v>58</v>
      </c>
      <c r="C54" s="10">
        <v>-275.5</v>
      </c>
      <c r="D54" s="10">
        <v>4585.8</v>
      </c>
      <c r="E54" s="10">
        <f t="shared" si="14"/>
        <v>4310.3</v>
      </c>
      <c r="F54" s="10">
        <v>0</v>
      </c>
      <c r="G54" s="10">
        <v>0</v>
      </c>
      <c r="H54" s="10">
        <f t="shared" si="15"/>
        <v>4310.3</v>
      </c>
    </row>
    <row r="55" spans="1:10" x14ac:dyDescent="0.25">
      <c r="A55" s="15"/>
      <c r="B55" s="16" t="s">
        <v>59</v>
      </c>
      <c r="C55" s="10">
        <v>0</v>
      </c>
      <c r="D55" s="19">
        <v>10</v>
      </c>
      <c r="E55" s="10">
        <f t="shared" si="14"/>
        <v>10</v>
      </c>
      <c r="F55" s="10">
        <v>7.15</v>
      </c>
      <c r="G55" s="10">
        <v>0</v>
      </c>
      <c r="H55" s="10">
        <f t="shared" si="15"/>
        <v>2.8499999999999996</v>
      </c>
    </row>
    <row r="56" spans="1:10" x14ac:dyDescent="0.25">
      <c r="A56" s="15"/>
      <c r="B56" s="16" t="s">
        <v>60</v>
      </c>
      <c r="C56" s="10">
        <v>597.61</v>
      </c>
      <c r="D56" s="10">
        <v>548</v>
      </c>
      <c r="E56" s="10">
        <f t="shared" si="14"/>
        <v>1145.6100000000001</v>
      </c>
      <c r="F56" s="19">
        <v>123.54635</v>
      </c>
      <c r="G56" s="19">
        <v>123.54635</v>
      </c>
      <c r="H56" s="10">
        <f t="shared" si="15"/>
        <v>1022.0636500000002</v>
      </c>
    </row>
    <row r="57" spans="1:10" x14ac:dyDescent="0.25">
      <c r="A57" s="15"/>
      <c r="B57" s="16" t="s">
        <v>61</v>
      </c>
      <c r="C57" s="10">
        <v>0</v>
      </c>
      <c r="D57" s="19">
        <v>0</v>
      </c>
      <c r="E57" s="10">
        <f t="shared" si="14"/>
        <v>0</v>
      </c>
      <c r="F57" s="19">
        <v>0</v>
      </c>
      <c r="G57" s="19">
        <v>0</v>
      </c>
      <c r="H57" s="10">
        <f t="shared" si="15"/>
        <v>0</v>
      </c>
    </row>
    <row r="58" spans="1:10" x14ac:dyDescent="0.25">
      <c r="A58" s="15"/>
      <c r="B58" s="16" t="s">
        <v>62</v>
      </c>
      <c r="C58" s="19">
        <v>0</v>
      </c>
      <c r="D58" s="10">
        <v>0</v>
      </c>
      <c r="E58" s="10">
        <f t="shared" si="14"/>
        <v>0</v>
      </c>
      <c r="F58" s="10">
        <v>0</v>
      </c>
      <c r="G58" s="10">
        <v>0</v>
      </c>
      <c r="H58" s="10">
        <f t="shared" si="15"/>
        <v>0</v>
      </c>
    </row>
    <row r="59" spans="1:10" x14ac:dyDescent="0.25">
      <c r="A59" s="15"/>
      <c r="B59" s="16" t="s">
        <v>63</v>
      </c>
      <c r="C59" s="19">
        <v>15631.660570000002</v>
      </c>
      <c r="D59" s="10">
        <v>22</v>
      </c>
      <c r="E59" s="10">
        <f t="shared" si="14"/>
        <v>15653.660570000002</v>
      </c>
      <c r="F59" s="10">
        <v>12</v>
      </c>
      <c r="G59" s="10">
        <v>0</v>
      </c>
      <c r="H59" s="10">
        <f t="shared" si="15"/>
        <v>15641.660570000002</v>
      </c>
    </row>
    <row r="60" spans="1:10" x14ac:dyDescent="0.25">
      <c r="A60" s="32" t="s">
        <v>64</v>
      </c>
      <c r="B60" s="33"/>
      <c r="C60" s="10">
        <f t="shared" ref="C60:H60" si="16">SUM(C61:C63)</f>
        <v>20850982.620000001</v>
      </c>
      <c r="D60" s="10">
        <f t="shared" si="16"/>
        <v>0</v>
      </c>
      <c r="E60" s="10">
        <f t="shared" si="16"/>
        <v>20850982.620000001</v>
      </c>
      <c r="F60" s="10">
        <f t="shared" si="16"/>
        <v>27178189.020509999</v>
      </c>
      <c r="G60" s="10">
        <f t="shared" si="16"/>
        <v>25241862.53788</v>
      </c>
      <c r="H60" s="10">
        <f t="shared" si="16"/>
        <v>-6327206.4005100001</v>
      </c>
      <c r="J60" s="14"/>
    </row>
    <row r="61" spans="1:10" x14ac:dyDescent="0.25">
      <c r="A61" s="15"/>
      <c r="B61" s="16" t="s">
        <v>65</v>
      </c>
      <c r="C61" s="10">
        <f>26826170.114-C138</f>
        <v>18501170.114</v>
      </c>
      <c r="D61" s="10">
        <v>0</v>
      </c>
      <c r="E61" s="10">
        <f t="shared" ref="E61:E63" si="17">+C61+D61</f>
        <v>18501170.114</v>
      </c>
      <c r="F61" s="10">
        <f>27648859.21966-F138</f>
        <v>23676452.319660001</v>
      </c>
      <c r="G61" s="10">
        <f>26897727.35672-G138</f>
        <v>22925320.456720002</v>
      </c>
      <c r="H61" s="10">
        <f t="shared" ref="H61:H63" si="18">+E61-F61</f>
        <v>-5175282.2056600004</v>
      </c>
    </row>
    <row r="62" spans="1:10" x14ac:dyDescent="0.25">
      <c r="A62" s="15"/>
      <c r="B62" s="16" t="s">
        <v>66</v>
      </c>
      <c r="C62" s="10">
        <f>717801.929-C139</f>
        <v>114801.929</v>
      </c>
      <c r="D62" s="10">
        <v>0</v>
      </c>
      <c r="E62" s="10">
        <f t="shared" si="17"/>
        <v>114801.929</v>
      </c>
      <c r="F62" s="10">
        <f>637902.17363-F139</f>
        <v>369237.97362999996</v>
      </c>
      <c r="G62" s="10">
        <f>485396.14332-G139</f>
        <v>216731.94331999996</v>
      </c>
      <c r="H62" s="10">
        <f t="shared" si="18"/>
        <v>-254436.04462999996</v>
      </c>
    </row>
    <row r="63" spans="1:10" x14ac:dyDescent="0.25">
      <c r="A63" s="15"/>
      <c r="B63" s="16" t="s">
        <v>67</v>
      </c>
      <c r="C63" s="10">
        <f>2637010.577-C140</f>
        <v>2235010.577</v>
      </c>
      <c r="D63" s="10">
        <v>0</v>
      </c>
      <c r="E63" s="10">
        <f t="shared" si="17"/>
        <v>2235010.577</v>
      </c>
      <c r="F63" s="10">
        <f>3423065.82722-F140</f>
        <v>3132498.7272199998</v>
      </c>
      <c r="G63" s="10">
        <f>2390377.23784-G140</f>
        <v>2099810.13784</v>
      </c>
      <c r="H63" s="10">
        <f t="shared" si="18"/>
        <v>-897488.15021999972</v>
      </c>
    </row>
    <row r="64" spans="1:10" x14ac:dyDescent="0.25">
      <c r="A64" s="32" t="s">
        <v>68</v>
      </c>
      <c r="B64" s="33"/>
      <c r="C64" s="10">
        <f t="shared" ref="C64:H64" si="19">SUM(C65:C72)</f>
        <v>1325299.3999999999</v>
      </c>
      <c r="D64" s="10">
        <f t="shared" si="19"/>
        <v>-10000</v>
      </c>
      <c r="E64" s="10">
        <f t="shared" si="19"/>
        <v>1315299.3999999999</v>
      </c>
      <c r="F64" s="10">
        <f t="shared" si="19"/>
        <v>2786386.6586100007</v>
      </c>
      <c r="G64" s="10">
        <f t="shared" si="19"/>
        <v>2786386.6586100007</v>
      </c>
      <c r="H64" s="10">
        <f t="shared" si="19"/>
        <v>-1471087.2586100008</v>
      </c>
    </row>
    <row r="65" spans="1:15" x14ac:dyDescent="0.25">
      <c r="A65" s="15"/>
      <c r="B65" s="16" t="s">
        <v>69</v>
      </c>
      <c r="C65" s="19">
        <v>0</v>
      </c>
      <c r="D65" s="10">
        <v>0</v>
      </c>
      <c r="E65" s="10">
        <f t="shared" ref="E65:E69" si="20">+C65+D65</f>
        <v>0</v>
      </c>
      <c r="F65" s="19">
        <v>0</v>
      </c>
      <c r="G65" s="19">
        <v>0</v>
      </c>
      <c r="H65" s="10">
        <f t="shared" ref="H65:H72" si="21">+E65-F65</f>
        <v>0</v>
      </c>
    </row>
    <row r="66" spans="1:15" x14ac:dyDescent="0.25">
      <c r="A66" s="15"/>
      <c r="B66" s="16" t="s">
        <v>70</v>
      </c>
      <c r="C66" s="19">
        <v>0</v>
      </c>
      <c r="D66" s="10">
        <v>0</v>
      </c>
      <c r="E66" s="10">
        <f t="shared" si="20"/>
        <v>0</v>
      </c>
      <c r="F66" s="19">
        <v>0</v>
      </c>
      <c r="G66" s="19">
        <v>0</v>
      </c>
      <c r="H66" s="10">
        <f t="shared" si="21"/>
        <v>0</v>
      </c>
    </row>
    <row r="67" spans="1:15" x14ac:dyDescent="0.25">
      <c r="A67" s="15"/>
      <c r="B67" s="16" t="s">
        <v>71</v>
      </c>
      <c r="C67" s="19">
        <v>0</v>
      </c>
      <c r="D67" s="10">
        <v>0</v>
      </c>
      <c r="E67" s="10">
        <f t="shared" si="20"/>
        <v>0</v>
      </c>
      <c r="F67" s="19">
        <v>0</v>
      </c>
      <c r="G67" s="19">
        <v>0</v>
      </c>
      <c r="H67" s="10">
        <f t="shared" si="21"/>
        <v>0</v>
      </c>
    </row>
    <row r="68" spans="1:15" x14ac:dyDescent="0.25">
      <c r="A68" s="15"/>
      <c r="B68" s="16" t="s">
        <v>72</v>
      </c>
      <c r="C68" s="19">
        <v>0</v>
      </c>
      <c r="D68" s="10">
        <v>0</v>
      </c>
      <c r="E68" s="10">
        <f t="shared" si="20"/>
        <v>0</v>
      </c>
      <c r="F68" s="19">
        <v>0</v>
      </c>
      <c r="G68" s="19">
        <v>0</v>
      </c>
      <c r="H68" s="10">
        <f t="shared" si="21"/>
        <v>0</v>
      </c>
    </row>
    <row r="69" spans="1:15" x14ac:dyDescent="0.25">
      <c r="A69" s="15"/>
      <c r="B69" s="16" t="s">
        <v>73</v>
      </c>
      <c r="C69" s="10">
        <v>1325299.3999999999</v>
      </c>
      <c r="D69" s="10">
        <v>-10000</v>
      </c>
      <c r="E69" s="10">
        <f t="shared" si="20"/>
        <v>1315299.3999999999</v>
      </c>
      <c r="F69" s="10">
        <v>2786386.6586100007</v>
      </c>
      <c r="G69" s="10">
        <v>2786386.6586100007</v>
      </c>
      <c r="H69" s="10">
        <f t="shared" si="21"/>
        <v>-1471087.2586100008</v>
      </c>
    </row>
    <row r="70" spans="1:15" x14ac:dyDescent="0.25">
      <c r="A70" s="15"/>
      <c r="B70" s="16" t="s">
        <v>74</v>
      </c>
      <c r="C70" s="19">
        <v>0</v>
      </c>
      <c r="D70" s="10">
        <v>0</v>
      </c>
      <c r="E70" s="10">
        <f t="shared" ref="E70:E72" si="22">+C70+D70</f>
        <v>0</v>
      </c>
      <c r="F70" s="19">
        <v>0</v>
      </c>
      <c r="G70" s="19">
        <v>0</v>
      </c>
      <c r="H70" s="10">
        <f t="shared" si="21"/>
        <v>0</v>
      </c>
    </row>
    <row r="71" spans="1:15" x14ac:dyDescent="0.25">
      <c r="A71" s="15"/>
      <c r="B71" s="16" t="s">
        <v>75</v>
      </c>
      <c r="C71" s="19">
        <v>0</v>
      </c>
      <c r="D71" s="10">
        <v>0</v>
      </c>
      <c r="E71" s="10">
        <f t="shared" si="22"/>
        <v>0</v>
      </c>
      <c r="F71" s="19">
        <v>0</v>
      </c>
      <c r="G71" s="19">
        <v>0</v>
      </c>
      <c r="H71" s="10">
        <f t="shared" si="21"/>
        <v>0</v>
      </c>
    </row>
    <row r="72" spans="1:15" x14ac:dyDescent="0.25">
      <c r="A72" s="15"/>
      <c r="B72" s="16" t="s">
        <v>76</v>
      </c>
      <c r="C72" s="19">
        <v>0</v>
      </c>
      <c r="D72" s="10">
        <v>0</v>
      </c>
      <c r="E72" s="10">
        <f t="shared" si="22"/>
        <v>0</v>
      </c>
      <c r="F72" s="19">
        <v>0</v>
      </c>
      <c r="G72" s="19">
        <v>0</v>
      </c>
      <c r="H72" s="10">
        <f t="shared" si="21"/>
        <v>0</v>
      </c>
    </row>
    <row r="73" spans="1:15" x14ac:dyDescent="0.25">
      <c r="A73" s="32" t="s">
        <v>77</v>
      </c>
      <c r="B73" s="33"/>
      <c r="C73" s="10">
        <f t="shared" ref="C73:H73" si="23">SUM(C74:C76)</f>
        <v>25784208.229999997</v>
      </c>
      <c r="D73" s="10">
        <f t="shared" si="23"/>
        <v>0</v>
      </c>
      <c r="E73" s="10">
        <f t="shared" si="23"/>
        <v>25784208.229999997</v>
      </c>
      <c r="F73" s="10">
        <f t="shared" si="23"/>
        <v>21028428.836050004</v>
      </c>
      <c r="G73" s="10">
        <f t="shared" si="23"/>
        <v>20949214.057780005</v>
      </c>
      <c r="H73" s="10">
        <f t="shared" si="23"/>
        <v>4755779.3939499948</v>
      </c>
      <c r="J73" s="14"/>
    </row>
    <row r="74" spans="1:15" x14ac:dyDescent="0.25">
      <c r="A74" s="15"/>
      <c r="B74" s="16" t="s">
        <v>78</v>
      </c>
      <c r="C74" s="10">
        <v>25784208.248</v>
      </c>
      <c r="D74" s="10">
        <v>0</v>
      </c>
      <c r="E74" s="10">
        <f t="shared" ref="E74:E76" si="24">+C74+D74</f>
        <v>25784208.248</v>
      </c>
      <c r="F74" s="10">
        <v>20946749.859230004</v>
      </c>
      <c r="G74" s="10">
        <v>20946749.859230004</v>
      </c>
      <c r="H74" s="10">
        <f t="shared" ref="H74:H76" si="25">+E74-F74</f>
        <v>4837458.3887699954</v>
      </c>
    </row>
    <row r="75" spans="1:15" x14ac:dyDescent="0.25">
      <c r="A75" s="15"/>
      <c r="B75" s="16" t="s">
        <v>79</v>
      </c>
      <c r="C75" s="10">
        <f>14774332.582-C152</f>
        <v>-1.8000001087784767E-2</v>
      </c>
      <c r="D75" s="10">
        <v>0</v>
      </c>
      <c r="E75" s="10">
        <f t="shared" si="24"/>
        <v>-1.8000001087784767E-2</v>
      </c>
      <c r="F75" s="10">
        <f>11944744.66989-F152</f>
        <v>79214.769889999181</v>
      </c>
      <c r="G75" s="10">
        <f>11865529.89162-G152</f>
        <v>-8.3799995481967926E-3</v>
      </c>
      <c r="H75" s="10">
        <f t="shared" si="25"/>
        <v>-79214.787890000269</v>
      </c>
    </row>
    <row r="76" spans="1:15" x14ac:dyDescent="0.25">
      <c r="A76" s="15"/>
      <c r="B76" s="16" t="s">
        <v>80</v>
      </c>
      <c r="C76" s="10">
        <f>0-C153</f>
        <v>0</v>
      </c>
      <c r="D76" s="10">
        <v>0</v>
      </c>
      <c r="E76" s="10">
        <f t="shared" si="24"/>
        <v>0</v>
      </c>
      <c r="F76" s="10">
        <f>603718.50693-F153</f>
        <v>2464.2069299999857</v>
      </c>
      <c r="G76" s="10">
        <f>603718.50693-G153</f>
        <v>2464.2069299999857</v>
      </c>
      <c r="H76" s="10">
        <f t="shared" si="25"/>
        <v>-2464.2069299999857</v>
      </c>
    </row>
    <row r="77" spans="1:15" x14ac:dyDescent="0.25">
      <c r="A77" s="32" t="s">
        <v>81</v>
      </c>
      <c r="B77" s="33"/>
      <c r="C77" s="10">
        <f t="shared" ref="C77:H77" si="26">SUM(C78:C84)</f>
        <v>5205322.6999999993</v>
      </c>
      <c r="D77" s="10">
        <f t="shared" si="26"/>
        <v>0</v>
      </c>
      <c r="E77" s="10">
        <f t="shared" si="26"/>
        <v>5205322.6999999993</v>
      </c>
      <c r="F77" s="10">
        <f>SUM(F78:F84)</f>
        <v>2997971.1203099997</v>
      </c>
      <c r="G77" s="10">
        <f t="shared" si="26"/>
        <v>2997971.1203099997</v>
      </c>
      <c r="H77" s="10">
        <f t="shared" si="26"/>
        <v>2207351.57969</v>
      </c>
      <c r="J77" s="29"/>
      <c r="K77" s="29"/>
      <c r="L77" s="29"/>
      <c r="M77" s="29"/>
      <c r="N77" s="29"/>
      <c r="O77" s="29"/>
    </row>
    <row r="78" spans="1:15" x14ac:dyDescent="0.25">
      <c r="A78" s="15"/>
      <c r="B78" s="16" t="s">
        <v>82</v>
      </c>
      <c r="C78" s="10">
        <f>3398000-C155</f>
        <v>2398000</v>
      </c>
      <c r="D78" s="10">
        <v>0</v>
      </c>
      <c r="E78" s="10">
        <f t="shared" ref="E78:E84" si="27">+C78+D78</f>
        <v>2398000</v>
      </c>
      <c r="F78" s="10">
        <f>1193588.85753-F155</f>
        <v>419780.15752999997</v>
      </c>
      <c r="G78" s="10">
        <f>1193588.85753-G155</f>
        <v>419780.15752999997</v>
      </c>
      <c r="H78" s="10">
        <f t="shared" ref="H78:H84" si="28">+E78-F78</f>
        <v>1978219.84247</v>
      </c>
      <c r="J78" s="18"/>
      <c r="K78" s="18"/>
      <c r="L78" s="18"/>
      <c r="M78" s="18"/>
      <c r="N78" s="18"/>
      <c r="O78" s="18"/>
    </row>
    <row r="79" spans="1:15" x14ac:dyDescent="0.25">
      <c r="A79" s="15"/>
      <c r="B79" s="16" t="s">
        <v>83</v>
      </c>
      <c r="C79" s="10">
        <f>3914000-C156</f>
        <v>346661.39999999991</v>
      </c>
      <c r="D79" s="10">
        <v>0</v>
      </c>
      <c r="E79" s="10">
        <f t="shared" si="27"/>
        <v>346661.39999999991</v>
      </c>
      <c r="F79" s="10">
        <f>2467908.94269-F156</f>
        <v>24711.842689999845</v>
      </c>
      <c r="G79" s="10">
        <f>2467908.94269-G156</f>
        <v>24711.842689999845</v>
      </c>
      <c r="H79" s="10">
        <f t="shared" si="28"/>
        <v>321949.55731000006</v>
      </c>
      <c r="J79" s="18"/>
      <c r="K79" s="18"/>
      <c r="L79" s="18"/>
      <c r="M79" s="18"/>
      <c r="N79" s="18"/>
      <c r="O79" s="18"/>
    </row>
    <row r="80" spans="1:15" x14ac:dyDescent="0.25">
      <c r="A80" s="15"/>
      <c r="B80" s="16" t="s">
        <v>84</v>
      </c>
      <c r="C80" s="10">
        <v>0</v>
      </c>
      <c r="D80" s="10">
        <v>0</v>
      </c>
      <c r="E80" s="10">
        <f t="shared" si="27"/>
        <v>0</v>
      </c>
      <c r="F80" s="10">
        <v>68037.737420000005</v>
      </c>
      <c r="G80" s="10">
        <v>68037.737420000005</v>
      </c>
      <c r="H80" s="10">
        <f t="shared" si="28"/>
        <v>-68037.737420000005</v>
      </c>
      <c r="J80" s="18"/>
      <c r="K80" s="18"/>
      <c r="L80" s="18"/>
      <c r="M80" s="18"/>
      <c r="N80" s="18"/>
      <c r="O80" s="18"/>
    </row>
    <row r="81" spans="1:15" x14ac:dyDescent="0.25">
      <c r="A81" s="15"/>
      <c r="B81" s="16" t="s">
        <v>85</v>
      </c>
      <c r="C81" s="10">
        <v>0</v>
      </c>
      <c r="D81" s="10">
        <v>0</v>
      </c>
      <c r="E81" s="10">
        <f t="shared" si="27"/>
        <v>0</v>
      </c>
      <c r="F81" s="10">
        <v>24911.398400000002</v>
      </c>
      <c r="G81" s="10">
        <v>24911.398400000002</v>
      </c>
      <c r="H81" s="10">
        <f t="shared" si="28"/>
        <v>-24911.398400000002</v>
      </c>
      <c r="J81" s="18"/>
      <c r="K81" s="18"/>
      <c r="L81" s="18"/>
      <c r="M81" s="18"/>
      <c r="N81" s="18"/>
      <c r="O81" s="18"/>
    </row>
    <row r="82" spans="1:15" x14ac:dyDescent="0.25">
      <c r="A82" s="15"/>
      <c r="B82" s="16" t="s">
        <v>86</v>
      </c>
      <c r="C82" s="10">
        <v>0</v>
      </c>
      <c r="D82" s="10">
        <v>0</v>
      </c>
      <c r="E82" s="10">
        <f t="shared" si="27"/>
        <v>0</v>
      </c>
      <c r="F82" s="10">
        <f>124598.28427-F159</f>
        <v>-1.5729999999166466E-2</v>
      </c>
      <c r="G82" s="10">
        <f>124598.28427-G159</f>
        <v>-1.5729999999166466E-2</v>
      </c>
      <c r="H82" s="10">
        <f t="shared" si="28"/>
        <v>1.5729999999166466E-2</v>
      </c>
      <c r="J82" s="18"/>
      <c r="K82" s="18"/>
      <c r="L82" s="18"/>
      <c r="M82" s="18"/>
      <c r="N82" s="18"/>
      <c r="O82" s="18"/>
    </row>
    <row r="83" spans="1:15" x14ac:dyDescent="0.25">
      <c r="A83" s="15"/>
      <c r="B83" s="16" t="s">
        <v>87</v>
      </c>
      <c r="C83" s="19">
        <v>0</v>
      </c>
      <c r="D83" s="10">
        <v>0</v>
      </c>
      <c r="E83" s="10">
        <f t="shared" si="27"/>
        <v>0</v>
      </c>
      <c r="F83" s="19">
        <v>0</v>
      </c>
      <c r="G83" s="19">
        <v>0</v>
      </c>
      <c r="H83" s="10">
        <f t="shared" si="28"/>
        <v>0</v>
      </c>
      <c r="J83" s="18"/>
      <c r="K83" s="18"/>
      <c r="L83" s="18"/>
      <c r="M83" s="18"/>
      <c r="N83" s="18"/>
      <c r="O83" s="18"/>
    </row>
    <row r="84" spans="1:15" x14ac:dyDescent="0.25">
      <c r="A84" s="15"/>
      <c r="B84" s="16" t="s">
        <v>88</v>
      </c>
      <c r="C84" s="19">
        <v>2460661.2999999998</v>
      </c>
      <c r="D84" s="10">
        <v>0</v>
      </c>
      <c r="E84" s="10">
        <f t="shared" si="27"/>
        <v>2460661.2999999998</v>
      </c>
      <c r="F84" s="19">
        <v>2460530</v>
      </c>
      <c r="G84" s="19">
        <v>2460530</v>
      </c>
      <c r="H84" s="10">
        <f t="shared" si="28"/>
        <v>131.29999999981374</v>
      </c>
      <c r="J84" s="18"/>
      <c r="K84" s="18"/>
      <c r="L84" s="18"/>
      <c r="M84" s="18"/>
      <c r="N84" s="18"/>
      <c r="O84" s="18"/>
    </row>
    <row r="85" spans="1:15" x14ac:dyDescent="0.25">
      <c r="A85" s="2"/>
      <c r="B85" s="3"/>
      <c r="C85" s="11"/>
      <c r="D85" s="11"/>
      <c r="E85" s="11"/>
      <c r="F85" s="11"/>
      <c r="G85" s="11"/>
      <c r="H85" s="11"/>
    </row>
    <row r="86" spans="1:15" x14ac:dyDescent="0.25">
      <c r="A86" s="5"/>
      <c r="B86" s="5"/>
      <c r="C86" s="8"/>
      <c r="D86" s="8"/>
      <c r="E86" s="8"/>
      <c r="F86" s="8"/>
      <c r="G86" s="8"/>
      <c r="H86" s="8"/>
    </row>
    <row r="87" spans="1:15" x14ac:dyDescent="0.25">
      <c r="A87" s="6"/>
      <c r="B87" s="7"/>
      <c r="C87" s="9"/>
      <c r="D87" s="9"/>
      <c r="E87" s="9"/>
      <c r="F87" s="9"/>
      <c r="G87" s="9"/>
      <c r="H87" s="9"/>
    </row>
    <row r="88" spans="1:15" x14ac:dyDescent="0.25">
      <c r="A88" s="30" t="s">
        <v>89</v>
      </c>
      <c r="B88" s="31"/>
      <c r="C88" s="12">
        <f>+C89+C97+C107+C117+C127+C137+C141+C150+C154</f>
        <v>89035710</v>
      </c>
      <c r="D88" s="12">
        <f t="shared" ref="D88:H88" si="29">+D89+D97+D107+D117+D127+D137+D141+D150+D154</f>
        <v>0</v>
      </c>
      <c r="E88" s="12">
        <f t="shared" si="29"/>
        <v>89035710</v>
      </c>
      <c r="F88" s="12">
        <f t="shared" si="29"/>
        <v>63468779.300000004</v>
      </c>
      <c r="G88" s="12">
        <f>+G89+G97+G107+G117+G127+G137+G141+G150+G154</f>
        <v>63468779.300000004</v>
      </c>
      <c r="H88" s="12">
        <f t="shared" si="29"/>
        <v>25566930.700000003</v>
      </c>
      <c r="J88" s="14"/>
      <c r="K88" s="14"/>
    </row>
    <row r="89" spans="1:15" x14ac:dyDescent="0.25">
      <c r="A89" s="32" t="s">
        <v>15</v>
      </c>
      <c r="B89" s="33"/>
      <c r="C89" s="10">
        <f>SUM(C90:C96)</f>
        <v>8298294.2999999998</v>
      </c>
      <c r="D89" s="10">
        <f t="shared" ref="D89:H89" si="30">SUM(D90:D96)</f>
        <v>0</v>
      </c>
      <c r="E89" s="10">
        <f t="shared" si="30"/>
        <v>8298294.2999999998</v>
      </c>
      <c r="F89" s="10">
        <f t="shared" si="30"/>
        <v>6247172</v>
      </c>
      <c r="G89" s="10">
        <f t="shared" si="30"/>
        <v>6247172</v>
      </c>
      <c r="H89" s="10">
        <f t="shared" si="30"/>
        <v>2051122.3000000003</v>
      </c>
      <c r="J89" s="24"/>
    </row>
    <row r="90" spans="1:15" x14ac:dyDescent="0.25">
      <c r="A90" s="15"/>
      <c r="B90" s="16" t="s">
        <v>16</v>
      </c>
      <c r="C90" s="10">
        <f>5600000-570678.7-69388.1-6.5-1020.5+3200000</f>
        <v>8158906.2000000002</v>
      </c>
      <c r="D90" s="10">
        <v>0</v>
      </c>
      <c r="E90" s="10">
        <f t="shared" ref="E90:E96" si="31">+C90+D90</f>
        <v>8158906.2000000002</v>
      </c>
      <c r="F90" s="10">
        <v>6143089.7999999998</v>
      </c>
      <c r="G90" s="10">
        <v>6143089.7999999998</v>
      </c>
      <c r="H90" s="10">
        <f>+E90-F90</f>
        <v>2015816.4000000004</v>
      </c>
      <c r="J90" s="24"/>
    </row>
    <row r="91" spans="1:15" x14ac:dyDescent="0.25">
      <c r="A91" s="15"/>
      <c r="B91" s="16" t="s">
        <v>17</v>
      </c>
      <c r="C91" s="10">
        <v>0</v>
      </c>
      <c r="D91" s="10">
        <v>0</v>
      </c>
      <c r="E91" s="10">
        <f t="shared" si="31"/>
        <v>0</v>
      </c>
      <c r="F91" s="10">
        <v>0</v>
      </c>
      <c r="G91" s="10">
        <v>0</v>
      </c>
      <c r="H91" s="10">
        <f t="shared" ref="H91:H96" si="32">+E91-F91</f>
        <v>0</v>
      </c>
      <c r="J91" s="24"/>
    </row>
    <row r="92" spans="1:15" x14ac:dyDescent="0.25">
      <c r="A92" s="15"/>
      <c r="B92" s="16" t="s">
        <v>18</v>
      </c>
      <c r="C92" s="10">
        <f>69388.1+70000</f>
        <v>139388.1</v>
      </c>
      <c r="D92" s="10">
        <v>0</v>
      </c>
      <c r="E92" s="10">
        <f t="shared" si="31"/>
        <v>139388.1</v>
      </c>
      <c r="F92" s="10">
        <v>104082.2</v>
      </c>
      <c r="G92" s="10">
        <v>104082.2</v>
      </c>
      <c r="H92" s="10">
        <f t="shared" si="32"/>
        <v>35305.900000000009</v>
      </c>
      <c r="J92" s="25"/>
    </row>
    <row r="93" spans="1:15" x14ac:dyDescent="0.25">
      <c r="A93" s="15"/>
      <c r="B93" s="16" t="s">
        <v>19</v>
      </c>
      <c r="C93" s="10">
        <v>0</v>
      </c>
      <c r="D93" s="10">
        <v>0</v>
      </c>
      <c r="E93" s="10">
        <f t="shared" si="31"/>
        <v>0</v>
      </c>
      <c r="F93" s="10">
        <v>0</v>
      </c>
      <c r="G93" s="10">
        <v>0</v>
      </c>
      <c r="H93" s="10">
        <f t="shared" si="32"/>
        <v>0</v>
      </c>
      <c r="J93" s="24"/>
    </row>
    <row r="94" spans="1:15" x14ac:dyDescent="0.25">
      <c r="A94" s="15"/>
      <c r="B94" s="16" t="s">
        <v>20</v>
      </c>
      <c r="C94" s="10">
        <v>0</v>
      </c>
      <c r="D94" s="10">
        <v>0</v>
      </c>
      <c r="E94" s="10">
        <f t="shared" si="31"/>
        <v>0</v>
      </c>
      <c r="F94" s="10">
        <v>0</v>
      </c>
      <c r="G94" s="10">
        <v>0</v>
      </c>
      <c r="H94" s="10">
        <f t="shared" si="32"/>
        <v>0</v>
      </c>
      <c r="J94" s="26"/>
    </row>
    <row r="95" spans="1:15" x14ac:dyDescent="0.25">
      <c r="A95" s="15"/>
      <c r="B95" s="16" t="s">
        <v>21</v>
      </c>
      <c r="C95" s="10">
        <v>0</v>
      </c>
      <c r="D95" s="10">
        <v>0</v>
      </c>
      <c r="E95" s="10">
        <f t="shared" si="31"/>
        <v>0</v>
      </c>
      <c r="F95" s="10">
        <v>0</v>
      </c>
      <c r="G95" s="10">
        <v>0</v>
      </c>
      <c r="H95" s="10">
        <f t="shared" si="32"/>
        <v>0</v>
      </c>
    </row>
    <row r="96" spans="1:15" x14ac:dyDescent="0.25">
      <c r="A96" s="15"/>
      <c r="B96" s="16" t="s">
        <v>22</v>
      </c>
      <c r="C96" s="10">
        <v>0</v>
      </c>
      <c r="D96" s="10">
        <v>0</v>
      </c>
      <c r="E96" s="10">
        <f t="shared" si="31"/>
        <v>0</v>
      </c>
      <c r="F96" s="10">
        <v>0</v>
      </c>
      <c r="G96" s="10">
        <v>0</v>
      </c>
      <c r="H96" s="10">
        <f t="shared" si="32"/>
        <v>0</v>
      </c>
    </row>
    <row r="97" spans="1:11" x14ac:dyDescent="0.25">
      <c r="A97" s="32" t="s">
        <v>24</v>
      </c>
      <c r="B97" s="33"/>
      <c r="C97" s="10">
        <f>SUM(C98:C106)</f>
        <v>0</v>
      </c>
      <c r="D97" s="10">
        <f t="shared" ref="D97:G97" si="33">SUM(D98:D106)</f>
        <v>0</v>
      </c>
      <c r="E97" s="10">
        <f t="shared" si="33"/>
        <v>0</v>
      </c>
      <c r="F97" s="10">
        <f t="shared" si="33"/>
        <v>0</v>
      </c>
      <c r="G97" s="10">
        <f t="shared" si="33"/>
        <v>0</v>
      </c>
      <c r="H97" s="10">
        <f>SUM(H98:H106)</f>
        <v>0</v>
      </c>
    </row>
    <row r="98" spans="1:11" x14ac:dyDescent="0.25">
      <c r="A98" s="15"/>
      <c r="B98" s="16" t="s">
        <v>25</v>
      </c>
      <c r="C98" s="10">
        <v>0</v>
      </c>
      <c r="D98" s="10">
        <v>0</v>
      </c>
      <c r="E98" s="10">
        <f t="shared" ref="E98:E140" si="34">+C98+D98</f>
        <v>0</v>
      </c>
      <c r="F98" s="10">
        <v>0</v>
      </c>
      <c r="G98" s="10">
        <v>0</v>
      </c>
      <c r="H98" s="10">
        <f t="shared" ref="H98:H106" si="35">+E98-F98</f>
        <v>0</v>
      </c>
      <c r="K98" s="14"/>
    </row>
    <row r="99" spans="1:11" x14ac:dyDescent="0.25">
      <c r="A99" s="15"/>
      <c r="B99" s="16" t="s">
        <v>26</v>
      </c>
      <c r="C99" s="10">
        <v>0</v>
      </c>
      <c r="D99" s="10">
        <v>0</v>
      </c>
      <c r="E99" s="10">
        <f t="shared" si="34"/>
        <v>0</v>
      </c>
      <c r="F99" s="10">
        <v>0</v>
      </c>
      <c r="G99" s="10">
        <v>0</v>
      </c>
      <c r="H99" s="10">
        <f t="shared" si="35"/>
        <v>0</v>
      </c>
    </row>
    <row r="100" spans="1:11" x14ac:dyDescent="0.25">
      <c r="A100" s="15"/>
      <c r="B100" s="16" t="s">
        <v>27</v>
      </c>
      <c r="C100" s="10">
        <v>0</v>
      </c>
      <c r="D100" s="10">
        <v>0</v>
      </c>
      <c r="E100" s="10">
        <f t="shared" si="34"/>
        <v>0</v>
      </c>
      <c r="F100" s="10">
        <v>0</v>
      </c>
      <c r="G100" s="10">
        <v>0</v>
      </c>
      <c r="H100" s="10">
        <f t="shared" si="35"/>
        <v>0</v>
      </c>
    </row>
    <row r="101" spans="1:11" x14ac:dyDescent="0.25">
      <c r="A101" s="15"/>
      <c r="B101" s="16" t="s">
        <v>28</v>
      </c>
      <c r="C101" s="10">
        <v>0</v>
      </c>
      <c r="D101" s="10">
        <v>0</v>
      </c>
      <c r="E101" s="10">
        <f t="shared" si="34"/>
        <v>0</v>
      </c>
      <c r="F101" s="10">
        <v>0</v>
      </c>
      <c r="G101" s="10">
        <v>0</v>
      </c>
      <c r="H101" s="10">
        <f t="shared" si="35"/>
        <v>0</v>
      </c>
    </row>
    <row r="102" spans="1:11" x14ac:dyDescent="0.25">
      <c r="A102" s="15"/>
      <c r="B102" s="16" t="s">
        <v>29</v>
      </c>
      <c r="C102" s="10">
        <v>0</v>
      </c>
      <c r="D102" s="10">
        <v>0</v>
      </c>
      <c r="E102" s="10">
        <f t="shared" si="34"/>
        <v>0</v>
      </c>
      <c r="F102" s="10">
        <v>0</v>
      </c>
      <c r="G102" s="10">
        <v>0</v>
      </c>
      <c r="H102" s="10">
        <f t="shared" si="35"/>
        <v>0</v>
      </c>
    </row>
    <row r="103" spans="1:11" x14ac:dyDescent="0.25">
      <c r="A103" s="15"/>
      <c r="B103" s="16" t="s">
        <v>30</v>
      </c>
      <c r="C103" s="10">
        <v>0</v>
      </c>
      <c r="D103" s="10">
        <v>0</v>
      </c>
      <c r="E103" s="10">
        <f t="shared" si="34"/>
        <v>0</v>
      </c>
      <c r="F103" s="10">
        <v>0</v>
      </c>
      <c r="G103" s="10">
        <v>0</v>
      </c>
      <c r="H103" s="10">
        <f t="shared" si="35"/>
        <v>0</v>
      </c>
    </row>
    <row r="104" spans="1:11" x14ac:dyDescent="0.25">
      <c r="A104" s="15"/>
      <c r="B104" s="16" t="s">
        <v>31</v>
      </c>
      <c r="C104" s="10">
        <v>0</v>
      </c>
      <c r="D104" s="10">
        <v>0</v>
      </c>
      <c r="E104" s="10">
        <f t="shared" si="34"/>
        <v>0</v>
      </c>
      <c r="F104" s="10">
        <v>0</v>
      </c>
      <c r="G104" s="10">
        <v>0</v>
      </c>
      <c r="H104" s="10">
        <f t="shared" si="35"/>
        <v>0</v>
      </c>
    </row>
    <row r="105" spans="1:11" x14ac:dyDescent="0.25">
      <c r="A105" s="15"/>
      <c r="B105" s="16" t="s">
        <v>32</v>
      </c>
      <c r="C105" s="10">
        <v>0</v>
      </c>
      <c r="D105" s="10">
        <v>0</v>
      </c>
      <c r="E105" s="10">
        <f t="shared" si="34"/>
        <v>0</v>
      </c>
      <c r="F105" s="10">
        <v>0</v>
      </c>
      <c r="G105" s="10">
        <v>0</v>
      </c>
      <c r="H105" s="10">
        <f t="shared" si="35"/>
        <v>0</v>
      </c>
    </row>
    <row r="106" spans="1:11" x14ac:dyDescent="0.25">
      <c r="A106" s="15"/>
      <c r="B106" s="16" t="s">
        <v>33</v>
      </c>
      <c r="C106" s="10">
        <v>0</v>
      </c>
      <c r="D106" s="10">
        <v>0</v>
      </c>
      <c r="E106" s="10">
        <f t="shared" si="34"/>
        <v>0</v>
      </c>
      <c r="F106" s="10">
        <v>0</v>
      </c>
      <c r="G106" s="10">
        <v>0</v>
      </c>
      <c r="H106" s="10">
        <f t="shared" si="35"/>
        <v>0</v>
      </c>
    </row>
    <row r="107" spans="1:11" x14ac:dyDescent="0.25">
      <c r="A107" s="32" t="s">
        <v>34</v>
      </c>
      <c r="B107" s="33"/>
      <c r="C107" s="10">
        <f>SUM(C108:C116)</f>
        <v>1777</v>
      </c>
      <c r="D107" s="10">
        <f t="shared" ref="D107:H107" si="36">SUM(D108:D116)</f>
        <v>0</v>
      </c>
      <c r="E107" s="10">
        <f t="shared" si="36"/>
        <v>1777</v>
      </c>
      <c r="F107" s="10">
        <f t="shared" si="36"/>
        <v>926.40000000000009</v>
      </c>
      <c r="G107" s="10">
        <f t="shared" si="36"/>
        <v>926.40000000000009</v>
      </c>
      <c r="H107" s="10">
        <f t="shared" si="36"/>
        <v>850.59999999999991</v>
      </c>
    </row>
    <row r="108" spans="1:11" x14ac:dyDescent="0.25">
      <c r="A108" s="15"/>
      <c r="B108" s="16" t="s">
        <v>35</v>
      </c>
      <c r="C108" s="10">
        <v>0</v>
      </c>
      <c r="D108" s="10">
        <v>0</v>
      </c>
      <c r="E108" s="10">
        <f t="shared" si="34"/>
        <v>0</v>
      </c>
      <c r="F108" s="10">
        <v>0</v>
      </c>
      <c r="G108" s="10">
        <v>0</v>
      </c>
      <c r="H108" s="10">
        <f t="shared" ref="H108:H116" si="37">+E108-F108</f>
        <v>0</v>
      </c>
    </row>
    <row r="109" spans="1:11" x14ac:dyDescent="0.25">
      <c r="A109" s="15"/>
      <c r="B109" s="16" t="s">
        <v>36</v>
      </c>
      <c r="C109" s="10">
        <v>0</v>
      </c>
      <c r="D109" s="10">
        <v>0</v>
      </c>
      <c r="E109" s="10">
        <f t="shared" si="34"/>
        <v>0</v>
      </c>
      <c r="F109" s="10">
        <v>0</v>
      </c>
      <c r="G109" s="10">
        <v>0</v>
      </c>
      <c r="H109" s="10">
        <f t="shared" si="37"/>
        <v>0</v>
      </c>
    </row>
    <row r="110" spans="1:11" x14ac:dyDescent="0.25">
      <c r="A110" s="15"/>
      <c r="B110" s="16" t="s">
        <v>37</v>
      </c>
      <c r="C110" s="10">
        <v>849.2</v>
      </c>
      <c r="D110" s="10">
        <v>0</v>
      </c>
      <c r="E110" s="10">
        <f t="shared" si="34"/>
        <v>849.2</v>
      </c>
      <c r="F110" s="10">
        <v>10.199999999999999</v>
      </c>
      <c r="G110" s="10">
        <v>10.199999999999999</v>
      </c>
      <c r="H110" s="10">
        <f t="shared" si="37"/>
        <v>839</v>
      </c>
    </row>
    <row r="111" spans="1:11" x14ac:dyDescent="0.25">
      <c r="A111" s="15"/>
      <c r="B111" s="16" t="s">
        <v>38</v>
      </c>
      <c r="C111" s="10">
        <v>0</v>
      </c>
      <c r="D111" s="10">
        <v>0</v>
      </c>
      <c r="E111" s="10">
        <f t="shared" si="34"/>
        <v>0</v>
      </c>
      <c r="F111" s="10">
        <v>0</v>
      </c>
      <c r="G111" s="10">
        <v>0</v>
      </c>
      <c r="H111" s="10">
        <f t="shared" si="37"/>
        <v>0</v>
      </c>
    </row>
    <row r="112" spans="1:11" x14ac:dyDescent="0.25">
      <c r="A112" s="15"/>
      <c r="B112" s="16" t="s">
        <v>39</v>
      </c>
      <c r="C112" s="10">
        <v>0</v>
      </c>
      <c r="D112" s="10">
        <v>0</v>
      </c>
      <c r="E112" s="10">
        <f t="shared" si="34"/>
        <v>0</v>
      </c>
      <c r="F112" s="10">
        <v>0</v>
      </c>
      <c r="G112" s="10">
        <v>0</v>
      </c>
      <c r="H112" s="10">
        <f t="shared" si="37"/>
        <v>0</v>
      </c>
    </row>
    <row r="113" spans="1:11" x14ac:dyDescent="0.25">
      <c r="A113" s="15"/>
      <c r="B113" s="16" t="s">
        <v>40</v>
      </c>
      <c r="C113" s="10">
        <v>0</v>
      </c>
      <c r="D113" s="10">
        <v>0</v>
      </c>
      <c r="E113" s="10">
        <f t="shared" si="34"/>
        <v>0</v>
      </c>
      <c r="F113" s="10">
        <v>0</v>
      </c>
      <c r="G113" s="10">
        <v>0</v>
      </c>
      <c r="H113" s="10">
        <f t="shared" si="37"/>
        <v>0</v>
      </c>
    </row>
    <row r="114" spans="1:11" x14ac:dyDescent="0.25">
      <c r="A114" s="15"/>
      <c r="B114" s="16" t="s">
        <v>41</v>
      </c>
      <c r="C114" s="10">
        <f>30.8+6.5+750</f>
        <v>787.3</v>
      </c>
      <c r="D114" s="10">
        <v>0</v>
      </c>
      <c r="E114" s="10">
        <f t="shared" si="34"/>
        <v>787.3</v>
      </c>
      <c r="F114" s="10">
        <v>774.2</v>
      </c>
      <c r="G114" s="10">
        <v>774.2</v>
      </c>
      <c r="H114" s="10">
        <f t="shared" si="37"/>
        <v>13.099999999999909</v>
      </c>
    </row>
    <row r="115" spans="1:11" x14ac:dyDescent="0.25">
      <c r="A115" s="15"/>
      <c r="B115" s="16" t="s">
        <v>42</v>
      </c>
      <c r="C115" s="10">
        <v>140.5</v>
      </c>
      <c r="D115" s="10">
        <v>0</v>
      </c>
      <c r="E115" s="10">
        <f t="shared" si="34"/>
        <v>140.5</v>
      </c>
      <c r="F115" s="10">
        <v>140.5</v>
      </c>
      <c r="G115" s="10">
        <v>140.5</v>
      </c>
      <c r="H115" s="10">
        <f t="shared" si="37"/>
        <v>0</v>
      </c>
    </row>
    <row r="116" spans="1:11" x14ac:dyDescent="0.25">
      <c r="A116" s="15"/>
      <c r="B116" s="16" t="s">
        <v>43</v>
      </c>
      <c r="C116" s="10">
        <v>0</v>
      </c>
      <c r="D116" s="10">
        <v>0</v>
      </c>
      <c r="E116" s="10">
        <f t="shared" si="34"/>
        <v>0</v>
      </c>
      <c r="F116" s="10">
        <v>1.5</v>
      </c>
      <c r="G116" s="10">
        <v>1.5</v>
      </c>
      <c r="H116" s="10">
        <f t="shared" si="37"/>
        <v>-1.5</v>
      </c>
    </row>
    <row r="117" spans="1:11" x14ac:dyDescent="0.25">
      <c r="A117" s="32" t="s">
        <v>44</v>
      </c>
      <c r="B117" s="33"/>
      <c r="C117" s="10">
        <f>SUM(C118:C124)</f>
        <v>52063967.5</v>
      </c>
      <c r="D117" s="10">
        <f t="shared" ref="D117:E117" si="38">SUM(D118:D124)</f>
        <v>0</v>
      </c>
      <c r="E117" s="10">
        <f t="shared" si="38"/>
        <v>52063967.5</v>
      </c>
      <c r="F117" s="10">
        <f>SUM(F118:F126)</f>
        <v>36880654.399999999</v>
      </c>
      <c r="G117" s="10">
        <f>SUM(G118:G126)</f>
        <v>36880654.399999999</v>
      </c>
      <c r="H117" s="10">
        <f t="shared" ref="H117:H153" si="39">+E117-F117</f>
        <v>15183313.100000001</v>
      </c>
    </row>
    <row r="118" spans="1:11" x14ac:dyDescent="0.25">
      <c r="A118" s="15"/>
      <c r="B118" s="16" t="s">
        <v>45</v>
      </c>
      <c r="C118" s="10">
        <f>1855650-580445+900000</f>
        <v>2175205</v>
      </c>
      <c r="D118" s="10">
        <v>0</v>
      </c>
      <c r="E118" s="10">
        <f t="shared" si="34"/>
        <v>2175205</v>
      </c>
      <c r="F118" s="10">
        <v>1465079.9</v>
      </c>
      <c r="G118" s="10">
        <v>1465079.9</v>
      </c>
      <c r="H118" s="10">
        <f t="shared" si="39"/>
        <v>710125.10000000009</v>
      </c>
    </row>
    <row r="119" spans="1:11" x14ac:dyDescent="0.25">
      <c r="A119" s="15"/>
      <c r="B119" s="16" t="s">
        <v>46</v>
      </c>
      <c r="C119" s="10">
        <v>0</v>
      </c>
      <c r="D119" s="10">
        <v>0</v>
      </c>
      <c r="E119" s="10">
        <f t="shared" si="34"/>
        <v>0</v>
      </c>
      <c r="F119" s="10">
        <v>0</v>
      </c>
      <c r="G119" s="10">
        <v>0</v>
      </c>
      <c r="H119" s="10">
        <f t="shared" si="39"/>
        <v>0</v>
      </c>
    </row>
    <row r="120" spans="1:11" x14ac:dyDescent="0.25">
      <c r="A120" s="15"/>
      <c r="B120" s="16" t="s">
        <v>47</v>
      </c>
      <c r="C120" s="10">
        <v>0</v>
      </c>
      <c r="D120" s="10">
        <v>0</v>
      </c>
      <c r="E120" s="10">
        <f t="shared" si="34"/>
        <v>0</v>
      </c>
      <c r="F120" s="10">
        <v>0</v>
      </c>
      <c r="G120" s="10">
        <v>0</v>
      </c>
      <c r="H120" s="10">
        <f t="shared" si="39"/>
        <v>0</v>
      </c>
    </row>
    <row r="121" spans="1:11" x14ac:dyDescent="0.25">
      <c r="A121" s="15"/>
      <c r="B121" s="16" t="s">
        <v>48</v>
      </c>
      <c r="C121" s="10">
        <f>580445+300000</f>
        <v>880445</v>
      </c>
      <c r="D121" s="10">
        <v>0</v>
      </c>
      <c r="E121" s="10">
        <f t="shared" si="34"/>
        <v>880445</v>
      </c>
      <c r="F121" s="10">
        <v>586873.69999999995</v>
      </c>
      <c r="G121" s="10">
        <v>586873.69999999995</v>
      </c>
      <c r="H121" s="10">
        <f t="shared" si="39"/>
        <v>293571.30000000005</v>
      </c>
    </row>
    <row r="122" spans="1:11" x14ac:dyDescent="0.25">
      <c r="A122" s="15"/>
      <c r="B122" s="16" t="s">
        <v>49</v>
      </c>
      <c r="C122" s="10">
        <v>0</v>
      </c>
      <c r="D122" s="10">
        <v>0</v>
      </c>
      <c r="E122" s="10">
        <f t="shared" si="34"/>
        <v>0</v>
      </c>
      <c r="F122" s="10">
        <v>0</v>
      </c>
      <c r="G122" s="10">
        <v>0</v>
      </c>
      <c r="H122" s="10">
        <f t="shared" si="39"/>
        <v>0</v>
      </c>
    </row>
    <row r="123" spans="1:11" x14ac:dyDescent="0.25">
      <c r="A123" s="15"/>
      <c r="B123" s="16" t="s">
        <v>50</v>
      </c>
      <c r="C123" s="10">
        <f>53479067.5-3200000-70000-750-900000-300000</f>
        <v>49008317.5</v>
      </c>
      <c r="D123" s="10">
        <v>0</v>
      </c>
      <c r="E123" s="10">
        <f t="shared" si="34"/>
        <v>49008317.5</v>
      </c>
      <c r="F123" s="10">
        <v>34828700.799999997</v>
      </c>
      <c r="G123" s="10">
        <v>34828700.799999997</v>
      </c>
      <c r="H123" s="10">
        <f t="shared" si="39"/>
        <v>14179616.700000003</v>
      </c>
      <c r="K123" s="14"/>
    </row>
    <row r="124" spans="1:11" x14ac:dyDescent="0.25">
      <c r="A124" s="15"/>
      <c r="B124" s="16" t="s">
        <v>51</v>
      </c>
      <c r="C124" s="10">
        <v>0</v>
      </c>
      <c r="D124" s="10">
        <v>0</v>
      </c>
      <c r="E124" s="10">
        <f t="shared" si="34"/>
        <v>0</v>
      </c>
      <c r="F124" s="10">
        <v>0</v>
      </c>
      <c r="G124" s="10">
        <v>0</v>
      </c>
      <c r="H124" s="10">
        <f t="shared" si="39"/>
        <v>0</v>
      </c>
    </row>
    <row r="125" spans="1:11" x14ac:dyDescent="0.25">
      <c r="A125" s="15"/>
      <c r="B125" s="16" t="s">
        <v>52</v>
      </c>
      <c r="C125" s="10">
        <v>0</v>
      </c>
      <c r="D125" s="10">
        <v>0</v>
      </c>
      <c r="E125" s="10">
        <f t="shared" si="34"/>
        <v>0</v>
      </c>
      <c r="F125" s="10">
        <v>0</v>
      </c>
      <c r="G125" s="10">
        <v>0</v>
      </c>
      <c r="H125" s="10">
        <f t="shared" si="39"/>
        <v>0</v>
      </c>
      <c r="K125" s="14"/>
    </row>
    <row r="126" spans="1:11" x14ac:dyDescent="0.25">
      <c r="A126" s="15"/>
      <c r="B126" s="16" t="s">
        <v>53</v>
      </c>
      <c r="C126" s="10">
        <v>0</v>
      </c>
      <c r="D126" s="10">
        <v>0</v>
      </c>
      <c r="E126" s="10">
        <f t="shared" si="34"/>
        <v>0</v>
      </c>
      <c r="F126" s="10">
        <v>0</v>
      </c>
      <c r="G126" s="10">
        <v>0</v>
      </c>
      <c r="H126" s="10">
        <f t="shared" si="39"/>
        <v>0</v>
      </c>
    </row>
    <row r="127" spans="1:11" x14ac:dyDescent="0.25">
      <c r="A127" s="32" t="s">
        <v>54</v>
      </c>
      <c r="B127" s="33"/>
      <c r="C127" s="10">
        <f t="shared" ref="C127:G127" si="40">SUM(C128:C136)</f>
        <v>0</v>
      </c>
      <c r="D127" s="10">
        <f t="shared" si="40"/>
        <v>0</v>
      </c>
      <c r="E127" s="10">
        <f t="shared" si="40"/>
        <v>0</v>
      </c>
      <c r="F127" s="10">
        <f t="shared" si="40"/>
        <v>0</v>
      </c>
      <c r="G127" s="10">
        <f t="shared" si="40"/>
        <v>0</v>
      </c>
      <c r="H127" s="10">
        <f t="shared" si="39"/>
        <v>0</v>
      </c>
    </row>
    <row r="128" spans="1:11" x14ac:dyDescent="0.25">
      <c r="A128" s="15"/>
      <c r="B128" s="16" t="s">
        <v>55</v>
      </c>
      <c r="C128" s="10">
        <v>0</v>
      </c>
      <c r="D128" s="10">
        <v>0</v>
      </c>
      <c r="E128" s="10">
        <f t="shared" si="34"/>
        <v>0</v>
      </c>
      <c r="F128" s="10">
        <v>0</v>
      </c>
      <c r="G128" s="10">
        <v>0</v>
      </c>
      <c r="H128" s="10">
        <f t="shared" si="39"/>
        <v>0</v>
      </c>
    </row>
    <row r="129" spans="1:14" x14ac:dyDescent="0.25">
      <c r="A129" s="15"/>
      <c r="B129" s="16" t="s">
        <v>56</v>
      </c>
      <c r="C129" s="10">
        <v>0</v>
      </c>
      <c r="D129" s="10">
        <v>0</v>
      </c>
      <c r="E129" s="10">
        <f t="shared" si="34"/>
        <v>0</v>
      </c>
      <c r="F129" s="10">
        <v>0</v>
      </c>
      <c r="G129" s="10">
        <v>0</v>
      </c>
      <c r="H129" s="10">
        <f t="shared" si="39"/>
        <v>0</v>
      </c>
    </row>
    <row r="130" spans="1:14" x14ac:dyDescent="0.25">
      <c r="A130" s="15"/>
      <c r="B130" s="16" t="s">
        <v>57</v>
      </c>
      <c r="C130" s="10">
        <v>0</v>
      </c>
      <c r="D130" s="10">
        <v>0</v>
      </c>
      <c r="E130" s="10">
        <f t="shared" si="34"/>
        <v>0</v>
      </c>
      <c r="F130" s="10">
        <v>0</v>
      </c>
      <c r="G130" s="10">
        <v>0</v>
      </c>
      <c r="H130" s="10">
        <f t="shared" si="39"/>
        <v>0</v>
      </c>
    </row>
    <row r="131" spans="1:14" x14ac:dyDescent="0.25">
      <c r="A131" s="15"/>
      <c r="B131" s="16" t="s">
        <v>58</v>
      </c>
      <c r="C131" s="10">
        <v>0</v>
      </c>
      <c r="D131" s="10">
        <v>0</v>
      </c>
      <c r="E131" s="10">
        <f t="shared" si="34"/>
        <v>0</v>
      </c>
      <c r="F131" s="10">
        <v>0</v>
      </c>
      <c r="G131" s="10">
        <v>0</v>
      </c>
      <c r="H131" s="10">
        <f t="shared" si="39"/>
        <v>0</v>
      </c>
    </row>
    <row r="132" spans="1:14" x14ac:dyDescent="0.25">
      <c r="A132" s="15"/>
      <c r="B132" s="16" t="s">
        <v>59</v>
      </c>
      <c r="C132" s="10">
        <v>0</v>
      </c>
      <c r="D132" s="10">
        <v>0</v>
      </c>
      <c r="E132" s="10">
        <f t="shared" si="34"/>
        <v>0</v>
      </c>
      <c r="F132" s="10">
        <v>0</v>
      </c>
      <c r="G132" s="10">
        <v>0</v>
      </c>
      <c r="H132" s="10">
        <f t="shared" si="39"/>
        <v>0</v>
      </c>
    </row>
    <row r="133" spans="1:14" x14ac:dyDescent="0.25">
      <c r="A133" s="15"/>
      <c r="B133" s="16" t="s">
        <v>60</v>
      </c>
      <c r="C133" s="10">
        <v>0</v>
      </c>
      <c r="D133" s="10">
        <v>0</v>
      </c>
      <c r="E133" s="10">
        <f t="shared" si="34"/>
        <v>0</v>
      </c>
      <c r="F133" s="10">
        <v>0</v>
      </c>
      <c r="G133" s="10">
        <v>0</v>
      </c>
      <c r="H133" s="10">
        <f t="shared" si="39"/>
        <v>0</v>
      </c>
    </row>
    <row r="134" spans="1:14" x14ac:dyDescent="0.25">
      <c r="A134" s="15"/>
      <c r="B134" s="16" t="s">
        <v>61</v>
      </c>
      <c r="C134" s="10">
        <v>0</v>
      </c>
      <c r="D134" s="10">
        <v>0</v>
      </c>
      <c r="E134" s="10">
        <f t="shared" si="34"/>
        <v>0</v>
      </c>
      <c r="F134" s="10">
        <v>0</v>
      </c>
      <c r="G134" s="10">
        <v>0</v>
      </c>
      <c r="H134" s="10">
        <f t="shared" si="39"/>
        <v>0</v>
      </c>
      <c r="L134" s="18"/>
      <c r="M134" s="18"/>
      <c r="N134" s="18"/>
    </row>
    <row r="135" spans="1:14" x14ac:dyDescent="0.25">
      <c r="A135" s="15"/>
      <c r="B135" s="16" t="s">
        <v>62</v>
      </c>
      <c r="C135" s="10">
        <v>0</v>
      </c>
      <c r="D135" s="10">
        <v>0</v>
      </c>
      <c r="E135" s="10">
        <f t="shared" si="34"/>
        <v>0</v>
      </c>
      <c r="F135" s="10">
        <v>0</v>
      </c>
      <c r="G135" s="10">
        <v>0</v>
      </c>
      <c r="H135" s="10">
        <f t="shared" si="39"/>
        <v>0</v>
      </c>
      <c r="L135" s="18"/>
      <c r="M135" s="18"/>
      <c r="N135" s="18"/>
    </row>
    <row r="136" spans="1:14" x14ac:dyDescent="0.25">
      <c r="A136" s="15"/>
      <c r="B136" s="16" t="s">
        <v>63</v>
      </c>
      <c r="C136" s="10">
        <v>0</v>
      </c>
      <c r="D136" s="10">
        <v>0</v>
      </c>
      <c r="E136" s="10">
        <f t="shared" si="34"/>
        <v>0</v>
      </c>
      <c r="F136" s="10">
        <v>0</v>
      </c>
      <c r="G136" s="10">
        <v>0</v>
      </c>
      <c r="H136" s="10">
        <f t="shared" si="39"/>
        <v>0</v>
      </c>
      <c r="L136" s="18"/>
      <c r="M136" s="18"/>
      <c r="N136" s="18"/>
    </row>
    <row r="137" spans="1:14" x14ac:dyDescent="0.25">
      <c r="A137" s="32" t="s">
        <v>64</v>
      </c>
      <c r="B137" s="33"/>
      <c r="C137" s="10">
        <f>SUM(C138:C140)</f>
        <v>9330000</v>
      </c>
      <c r="D137" s="10">
        <f t="shared" ref="D137:G137" si="41">SUM(D138:D140)</f>
        <v>0</v>
      </c>
      <c r="E137" s="10">
        <f t="shared" si="41"/>
        <v>9330000</v>
      </c>
      <c r="F137" s="10">
        <f t="shared" si="41"/>
        <v>4531638.1999999993</v>
      </c>
      <c r="G137" s="10">
        <f t="shared" si="41"/>
        <v>4531638.1999999993</v>
      </c>
      <c r="H137" s="10">
        <f t="shared" si="39"/>
        <v>4798361.8000000007</v>
      </c>
      <c r="K137" s="14"/>
      <c r="L137" s="18"/>
      <c r="M137" s="18"/>
      <c r="N137" s="18"/>
    </row>
    <row r="138" spans="1:14" x14ac:dyDescent="0.25">
      <c r="A138" s="15"/>
      <c r="B138" s="16" t="s">
        <v>65</v>
      </c>
      <c r="C138" s="10">
        <f>9325000-1000000</f>
        <v>8325000</v>
      </c>
      <c r="D138" s="10">
        <v>0</v>
      </c>
      <c r="E138" s="10">
        <f t="shared" si="34"/>
        <v>8325000</v>
      </c>
      <c r="F138" s="10">
        <v>3972406.9</v>
      </c>
      <c r="G138" s="10">
        <v>3972406.9</v>
      </c>
      <c r="H138" s="10">
        <f t="shared" si="39"/>
        <v>4352593.0999999996</v>
      </c>
      <c r="J138" s="14"/>
      <c r="L138" s="18"/>
      <c r="M138" s="18"/>
      <c r="N138" s="18"/>
    </row>
    <row r="139" spans="1:14" x14ac:dyDescent="0.25">
      <c r="A139" s="15"/>
      <c r="B139" s="16" t="s">
        <v>66</v>
      </c>
      <c r="C139" s="10">
        <v>603000</v>
      </c>
      <c r="D139" s="10">
        <v>0</v>
      </c>
      <c r="E139" s="10">
        <f t="shared" si="34"/>
        <v>603000</v>
      </c>
      <c r="F139" s="10">
        <v>268664.2</v>
      </c>
      <c r="G139" s="10">
        <v>268664.2</v>
      </c>
      <c r="H139" s="10">
        <f t="shared" si="39"/>
        <v>334335.8</v>
      </c>
      <c r="M139" s="18"/>
    </row>
    <row r="140" spans="1:14" x14ac:dyDescent="0.25">
      <c r="A140" s="15"/>
      <c r="B140" s="16" t="s">
        <v>67</v>
      </c>
      <c r="C140" s="10">
        <v>402000</v>
      </c>
      <c r="D140" s="10">
        <v>0</v>
      </c>
      <c r="E140" s="10">
        <f t="shared" si="34"/>
        <v>402000</v>
      </c>
      <c r="F140" s="10">
        <v>290567.09999999998</v>
      </c>
      <c r="G140" s="10">
        <v>290567.09999999998</v>
      </c>
      <c r="H140" s="10">
        <f t="shared" si="39"/>
        <v>111432.90000000002</v>
      </c>
      <c r="M140" s="18"/>
    </row>
    <row r="141" spans="1:14" x14ac:dyDescent="0.25">
      <c r="A141" s="32" t="s">
        <v>68</v>
      </c>
      <c r="B141" s="33"/>
      <c r="C141" s="10">
        <f>SUM(C142:C149)</f>
        <v>0</v>
      </c>
      <c r="D141" s="10">
        <f t="shared" ref="D141:G141" si="42">SUM(D142:D149)</f>
        <v>0</v>
      </c>
      <c r="E141" s="10">
        <f t="shared" si="42"/>
        <v>0</v>
      </c>
      <c r="F141" s="10">
        <f t="shared" si="42"/>
        <v>0</v>
      </c>
      <c r="G141" s="10">
        <f t="shared" si="42"/>
        <v>0</v>
      </c>
      <c r="H141" s="10">
        <f t="shared" si="39"/>
        <v>0</v>
      </c>
      <c r="M141" s="20"/>
    </row>
    <row r="142" spans="1:14" x14ac:dyDescent="0.25">
      <c r="A142" s="15"/>
      <c r="B142" s="16" t="s">
        <v>69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39"/>
        <v>0</v>
      </c>
    </row>
    <row r="143" spans="1:14" x14ac:dyDescent="0.25">
      <c r="A143" s="15"/>
      <c r="B143" s="16" t="s">
        <v>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9"/>
        <v>0</v>
      </c>
    </row>
    <row r="144" spans="1:14" x14ac:dyDescent="0.25">
      <c r="A144" s="15"/>
      <c r="B144" s="16" t="s">
        <v>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9"/>
        <v>0</v>
      </c>
    </row>
    <row r="145" spans="1:13" x14ac:dyDescent="0.25">
      <c r="A145" s="15"/>
      <c r="B145" s="16" t="s">
        <v>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9"/>
        <v>0</v>
      </c>
      <c r="L145" s="18"/>
      <c r="M145" s="18"/>
    </row>
    <row r="146" spans="1:13" x14ac:dyDescent="0.25">
      <c r="A146" s="15"/>
      <c r="B146" s="16" t="s">
        <v>73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9"/>
        <v>0</v>
      </c>
      <c r="L146" s="18"/>
      <c r="M146" s="18"/>
    </row>
    <row r="147" spans="1:13" x14ac:dyDescent="0.25">
      <c r="A147" s="15"/>
      <c r="B147" s="16" t="s">
        <v>74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9"/>
        <v>0</v>
      </c>
      <c r="L147" s="18"/>
      <c r="M147" s="18"/>
    </row>
    <row r="148" spans="1:13" x14ac:dyDescent="0.25">
      <c r="A148" s="15"/>
      <c r="B148" s="16" t="s">
        <v>75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9"/>
        <v>0</v>
      </c>
      <c r="L148" s="18"/>
      <c r="M148" s="18"/>
    </row>
    <row r="149" spans="1:13" x14ac:dyDescent="0.25">
      <c r="A149" s="15"/>
      <c r="B149" s="16" t="s">
        <v>76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9"/>
        <v>0</v>
      </c>
      <c r="L149" s="18"/>
      <c r="M149" s="18"/>
    </row>
    <row r="150" spans="1:13" x14ac:dyDescent="0.25">
      <c r="A150" s="32" t="s">
        <v>77</v>
      </c>
      <c r="B150" s="33"/>
      <c r="C150" s="10">
        <f>SUM(C151:C153)</f>
        <v>14774332.600000001</v>
      </c>
      <c r="D150" s="10">
        <f>SUM(D151:D153)</f>
        <v>0</v>
      </c>
      <c r="E150" s="10">
        <f t="shared" ref="E150:G150" si="43">SUM(E151:E153)</f>
        <v>14774332.600000001</v>
      </c>
      <c r="F150" s="10">
        <f t="shared" si="43"/>
        <v>12466784.200000001</v>
      </c>
      <c r="G150" s="10">
        <f t="shared" si="43"/>
        <v>12466784.200000001</v>
      </c>
      <c r="H150" s="10">
        <f t="shared" si="39"/>
        <v>2307548.4000000004</v>
      </c>
      <c r="L150" s="20"/>
    </row>
    <row r="151" spans="1:13" x14ac:dyDescent="0.25">
      <c r="A151" s="15"/>
      <c r="B151" s="16" t="s">
        <v>78</v>
      </c>
      <c r="C151" s="10">
        <v>0</v>
      </c>
      <c r="D151" s="10">
        <v>0</v>
      </c>
      <c r="E151" s="10">
        <f t="shared" ref="E151:E153" si="44">+C151+D151</f>
        <v>0</v>
      </c>
      <c r="F151" s="10">
        <v>0</v>
      </c>
      <c r="G151" s="10">
        <v>0</v>
      </c>
      <c r="H151" s="10">
        <f t="shared" si="39"/>
        <v>0</v>
      </c>
    </row>
    <row r="152" spans="1:13" x14ac:dyDescent="0.25">
      <c r="A152" s="15"/>
      <c r="B152" s="16" t="s">
        <v>79</v>
      </c>
      <c r="C152" s="10">
        <f>4468109.3+10306223.3</f>
        <v>14774332.600000001</v>
      </c>
      <c r="D152" s="10">
        <v>0</v>
      </c>
      <c r="E152" s="10">
        <f t="shared" si="44"/>
        <v>14774332.600000001</v>
      </c>
      <c r="F152" s="10">
        <v>11865529.9</v>
      </c>
      <c r="G152" s="10">
        <v>11865529.9</v>
      </c>
      <c r="H152" s="10">
        <f t="shared" si="39"/>
        <v>2908802.7000000011</v>
      </c>
    </row>
    <row r="153" spans="1:13" x14ac:dyDescent="0.25">
      <c r="A153" s="15"/>
      <c r="B153" s="16" t="s">
        <v>80</v>
      </c>
      <c r="C153" s="10">
        <v>0</v>
      </c>
      <c r="D153" s="10">
        <v>0</v>
      </c>
      <c r="E153" s="10">
        <f t="shared" si="44"/>
        <v>0</v>
      </c>
      <c r="F153" s="10">
        <v>601254.30000000005</v>
      </c>
      <c r="G153" s="10">
        <v>601254.30000000005</v>
      </c>
      <c r="H153" s="10">
        <f t="shared" si="39"/>
        <v>-601254.30000000005</v>
      </c>
    </row>
    <row r="154" spans="1:13" x14ac:dyDescent="0.25">
      <c r="A154" s="32" t="s">
        <v>81</v>
      </c>
      <c r="B154" s="33"/>
      <c r="C154" s="10">
        <f>SUM(C155:C161)</f>
        <v>4567338.5999999996</v>
      </c>
      <c r="D154" s="10">
        <f t="shared" ref="D154:F154" si="45">SUM(D155:D161)</f>
        <v>0</v>
      </c>
      <c r="E154" s="10">
        <f t="shared" si="45"/>
        <v>4567338.5999999996</v>
      </c>
      <c r="F154" s="10">
        <f t="shared" si="45"/>
        <v>3341604.0999999996</v>
      </c>
      <c r="G154" s="10">
        <f>SUM(G155:G161)</f>
        <v>3341604.0999999996</v>
      </c>
      <c r="H154" s="10">
        <f>+E154-F154</f>
        <v>1225734.5</v>
      </c>
    </row>
    <row r="155" spans="1:13" x14ac:dyDescent="0.25">
      <c r="A155" s="15"/>
      <c r="B155" s="16" t="s">
        <v>82</v>
      </c>
      <c r="C155" s="10">
        <v>1000000</v>
      </c>
      <c r="D155" s="10">
        <v>0</v>
      </c>
      <c r="E155" s="10">
        <f t="shared" ref="E155:E161" si="46">+C155+D155</f>
        <v>1000000</v>
      </c>
      <c r="F155" s="19">
        <v>773808.7</v>
      </c>
      <c r="G155" s="19">
        <v>773808.7</v>
      </c>
      <c r="H155" s="10">
        <f t="shared" ref="H155:H161" si="47">+E155-F155</f>
        <v>226191.30000000005</v>
      </c>
    </row>
    <row r="156" spans="1:13" x14ac:dyDescent="0.25">
      <c r="A156" s="15"/>
      <c r="B156" s="16" t="s">
        <v>83</v>
      </c>
      <c r="C156" s="10">
        <v>3567338.6</v>
      </c>
      <c r="D156" s="10">
        <v>0</v>
      </c>
      <c r="E156" s="10">
        <f t="shared" si="46"/>
        <v>3567338.6</v>
      </c>
      <c r="F156" s="19">
        <v>2443197.1</v>
      </c>
      <c r="G156" s="19">
        <v>2443197.1</v>
      </c>
      <c r="H156" s="10">
        <f t="shared" si="47"/>
        <v>1124141.5</v>
      </c>
    </row>
    <row r="157" spans="1:13" x14ac:dyDescent="0.25">
      <c r="A157" s="15"/>
      <c r="B157" s="16" t="s">
        <v>84</v>
      </c>
      <c r="C157" s="10">
        <v>0</v>
      </c>
      <c r="D157" s="10">
        <v>0</v>
      </c>
      <c r="E157" s="10">
        <f t="shared" si="46"/>
        <v>0</v>
      </c>
      <c r="F157" s="10">
        <v>0</v>
      </c>
      <c r="G157" s="10">
        <v>0</v>
      </c>
      <c r="H157" s="10">
        <f t="shared" si="47"/>
        <v>0</v>
      </c>
    </row>
    <row r="158" spans="1:13" x14ac:dyDescent="0.25">
      <c r="A158" s="15"/>
      <c r="B158" s="16" t="s">
        <v>85</v>
      </c>
      <c r="C158" s="10">
        <v>0</v>
      </c>
      <c r="D158" s="10">
        <v>0</v>
      </c>
      <c r="E158" s="10">
        <f t="shared" si="46"/>
        <v>0</v>
      </c>
      <c r="F158" s="10">
        <v>0</v>
      </c>
      <c r="G158" s="10">
        <v>0</v>
      </c>
      <c r="H158" s="10">
        <f t="shared" si="47"/>
        <v>0</v>
      </c>
    </row>
    <row r="159" spans="1:13" x14ac:dyDescent="0.25">
      <c r="A159" s="15"/>
      <c r="B159" s="16" t="s">
        <v>86</v>
      </c>
      <c r="C159" s="10">
        <v>0</v>
      </c>
      <c r="D159" s="10">
        <v>0</v>
      </c>
      <c r="E159" s="10">
        <f t="shared" si="46"/>
        <v>0</v>
      </c>
      <c r="F159" s="10">
        <v>124598.3</v>
      </c>
      <c r="G159" s="10">
        <v>124598.3</v>
      </c>
      <c r="H159" s="10">
        <f t="shared" si="47"/>
        <v>-124598.3</v>
      </c>
    </row>
    <row r="160" spans="1:13" x14ac:dyDescent="0.25">
      <c r="A160" s="15"/>
      <c r="B160" s="16" t="s">
        <v>87</v>
      </c>
      <c r="C160" s="10">
        <v>0</v>
      </c>
      <c r="D160" s="10">
        <v>0</v>
      </c>
      <c r="E160" s="10">
        <f t="shared" si="46"/>
        <v>0</v>
      </c>
      <c r="F160" s="10">
        <v>0</v>
      </c>
      <c r="G160" s="10">
        <v>0</v>
      </c>
      <c r="H160" s="10">
        <f t="shared" si="47"/>
        <v>0</v>
      </c>
    </row>
    <row r="161" spans="1:11" x14ac:dyDescent="0.25">
      <c r="A161" s="15"/>
      <c r="B161" s="16" t="s">
        <v>88</v>
      </c>
      <c r="C161" s="10">
        <v>0</v>
      </c>
      <c r="D161" s="10">
        <v>0</v>
      </c>
      <c r="E161" s="10">
        <f t="shared" si="46"/>
        <v>0</v>
      </c>
      <c r="F161" s="10">
        <v>0</v>
      </c>
      <c r="G161" s="10">
        <v>0</v>
      </c>
      <c r="H161" s="10">
        <f t="shared" si="47"/>
        <v>0</v>
      </c>
    </row>
    <row r="162" spans="1:11" x14ac:dyDescent="0.25">
      <c r="A162" s="15"/>
      <c r="B162" s="16"/>
      <c r="C162" s="10"/>
      <c r="D162" s="10"/>
      <c r="E162" s="10"/>
      <c r="F162" s="10"/>
      <c r="G162" s="10"/>
      <c r="H162" s="10"/>
    </row>
    <row r="163" spans="1:11" x14ac:dyDescent="0.25">
      <c r="A163" s="30" t="s">
        <v>90</v>
      </c>
      <c r="B163" s="31"/>
      <c r="C163" s="12">
        <f>+C10+C88</f>
        <v>246649964.30970997</v>
      </c>
      <c r="D163" s="12">
        <f t="shared" ref="D163:H163" si="48">+D10+D88</f>
        <v>11848013.144439999</v>
      </c>
      <c r="E163" s="12">
        <f>+E10+E88</f>
        <v>258497977.45414996</v>
      </c>
      <c r="F163" s="12">
        <f t="shared" si="48"/>
        <v>186215836.24603</v>
      </c>
      <c r="G163" s="12">
        <f t="shared" si="48"/>
        <v>183754883.35034001</v>
      </c>
      <c r="H163" s="12">
        <f t="shared" si="48"/>
        <v>72282141.208119988</v>
      </c>
    </row>
    <row r="164" spans="1:11" x14ac:dyDescent="0.25">
      <c r="A164" s="2"/>
      <c r="B164" s="3"/>
      <c r="C164" s="4"/>
      <c r="D164" s="4"/>
      <c r="E164" s="4"/>
      <c r="F164" s="4"/>
      <c r="G164" s="4"/>
      <c r="H164" s="4"/>
    </row>
    <row r="166" spans="1:11" x14ac:dyDescent="0.25">
      <c r="C166" s="14"/>
      <c r="F166" s="28"/>
      <c r="G166" s="27"/>
      <c r="H166" s="14"/>
    </row>
    <row r="167" spans="1:11" x14ac:dyDescent="0.25">
      <c r="C167" s="14"/>
      <c r="D167" s="14"/>
      <c r="E167" s="14"/>
      <c r="F167" s="14"/>
      <c r="G167" s="14"/>
      <c r="H167" s="14"/>
      <c r="J167" s="18"/>
      <c r="K167" s="18"/>
    </row>
    <row r="168" spans="1:11" x14ac:dyDescent="0.25">
      <c r="C168" s="14"/>
      <c r="D168" s="14"/>
      <c r="E168" s="14"/>
      <c r="F168" s="28"/>
      <c r="G168" s="28"/>
      <c r="J168" s="18"/>
      <c r="K168" s="18"/>
    </row>
    <row r="169" spans="1:11" x14ac:dyDescent="0.25">
      <c r="J169" s="18"/>
      <c r="K169" s="18"/>
    </row>
    <row r="170" spans="1:11" x14ac:dyDescent="0.25">
      <c r="J170" s="18"/>
      <c r="K170" s="18"/>
    </row>
    <row r="171" spans="1:11" x14ac:dyDescent="0.25">
      <c r="J171" s="18"/>
      <c r="K171" s="18"/>
    </row>
    <row r="172" spans="1:11" x14ac:dyDescent="0.25">
      <c r="J172" s="18"/>
      <c r="K172" s="18"/>
    </row>
    <row r="175" spans="1:11" x14ac:dyDescent="0.25">
      <c r="C175" s="14"/>
      <c r="D175" s="14"/>
      <c r="E175" s="14"/>
      <c r="F175" s="14"/>
      <c r="G175" s="14"/>
      <c r="H175" s="14"/>
    </row>
    <row r="176" spans="1:11" x14ac:dyDescent="0.25">
      <c r="C176" s="14"/>
      <c r="D176" s="14"/>
      <c r="E176" s="14"/>
      <c r="F176" s="14"/>
      <c r="G176" s="14"/>
      <c r="H176" s="14"/>
    </row>
    <row r="177" spans="3:13" x14ac:dyDescent="0.25">
      <c r="C177" s="14"/>
      <c r="D177" s="14"/>
      <c r="E177" s="14"/>
      <c r="F177" s="14"/>
      <c r="G177" s="14"/>
      <c r="H177" s="14"/>
    </row>
    <row r="178" spans="3:13" x14ac:dyDescent="0.25">
      <c r="C178" s="14"/>
      <c r="D178" s="14"/>
      <c r="E178" s="14"/>
      <c r="F178" s="14"/>
      <c r="G178" s="14"/>
      <c r="H178" s="14"/>
      <c r="L178" s="14"/>
      <c r="M178" s="14"/>
    </row>
    <row r="179" spans="3:13" x14ac:dyDescent="0.25">
      <c r="C179" s="14"/>
      <c r="D179" s="14"/>
      <c r="E179" s="14"/>
      <c r="F179" s="14"/>
      <c r="G179" s="14"/>
      <c r="H179" s="14"/>
    </row>
    <row r="180" spans="3:13" x14ac:dyDescent="0.25">
      <c r="C180" s="14"/>
      <c r="D180" s="14"/>
      <c r="E180" s="14"/>
      <c r="F180" s="14"/>
      <c r="G180" s="14"/>
      <c r="H180" s="14"/>
      <c r="L180" s="14"/>
      <c r="M180" s="14"/>
    </row>
    <row r="181" spans="3:13" x14ac:dyDescent="0.25">
      <c r="C181" s="14"/>
      <c r="D181" s="14"/>
      <c r="E181" s="14"/>
      <c r="F181" s="14"/>
      <c r="G181" s="14"/>
      <c r="H181" s="14"/>
    </row>
    <row r="182" spans="3:13" x14ac:dyDescent="0.25">
      <c r="C182" s="14"/>
      <c r="D182" s="14"/>
      <c r="E182" s="14"/>
      <c r="F182" s="14"/>
      <c r="G182" s="14"/>
      <c r="H182" s="14"/>
    </row>
    <row r="183" spans="3:13" x14ac:dyDescent="0.25">
      <c r="C183" s="14"/>
      <c r="D183" s="14"/>
      <c r="E183" s="14"/>
      <c r="F183" s="14"/>
      <c r="G183" s="14"/>
      <c r="H183" s="14"/>
    </row>
    <row r="184" spans="3:13" x14ac:dyDescent="0.25">
      <c r="C184" s="21"/>
      <c r="D184" s="21"/>
      <c r="E184" s="21"/>
      <c r="F184" s="21"/>
      <c r="G184" s="21"/>
      <c r="H184" s="21"/>
    </row>
    <row r="186" spans="3:13" x14ac:dyDescent="0.25">
      <c r="C186" s="14"/>
      <c r="D186" s="14"/>
      <c r="E186" s="14"/>
      <c r="F186" s="14"/>
      <c r="G186" s="14"/>
      <c r="H186" s="14"/>
    </row>
    <row r="187" spans="3:13" x14ac:dyDescent="0.25">
      <c r="F187" s="22"/>
      <c r="G187" s="22"/>
    </row>
    <row r="188" spans="3:13" x14ac:dyDescent="0.25">
      <c r="F188" s="23"/>
      <c r="G188" s="23"/>
    </row>
    <row r="190" spans="3:13" x14ac:dyDescent="0.25">
      <c r="F190" s="20"/>
      <c r="G190" s="20"/>
    </row>
  </sheetData>
  <mergeCells count="31"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63:B163"/>
    <mergeCell ref="A117:B117"/>
    <mergeCell ref="A127:B127"/>
    <mergeCell ref="A137:B137"/>
    <mergeCell ref="A141:B141"/>
    <mergeCell ref="A150:B150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2018-11-09T20:00:02Z</cp:lastPrinted>
  <dcterms:created xsi:type="dcterms:W3CDTF">2017-05-09T18:38:53Z</dcterms:created>
  <dcterms:modified xsi:type="dcterms:W3CDTF">2018-11-09T20:00:05Z</dcterms:modified>
</cp:coreProperties>
</file>