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FORMATO 6a ok DEF" sheetId="1" r:id="rId1"/>
  </sheets>
  <definedNames>
    <definedName name="_xlnm.Print_Titles" localSheetId="0">'FORMATO 6a ok DEF'!$3:$9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0" i="1" l="1"/>
  <c r="I160" i="1" s="1"/>
  <c r="F159" i="1"/>
  <c r="I159" i="1" s="1"/>
  <c r="F158" i="1"/>
  <c r="I158" i="1" s="1"/>
  <c r="F157" i="1"/>
  <c r="I157" i="1" s="1"/>
  <c r="F156" i="1"/>
  <c r="H155" i="1"/>
  <c r="H153" i="1" s="1"/>
  <c r="F155" i="1"/>
  <c r="I155" i="1" s="1"/>
  <c r="I154" i="1"/>
  <c r="F154" i="1"/>
  <c r="G153" i="1"/>
  <c r="E153" i="1"/>
  <c r="D153" i="1"/>
  <c r="G152" i="1"/>
  <c r="E152" i="1"/>
  <c r="F151" i="1"/>
  <c r="I151" i="1" s="1"/>
  <c r="F150" i="1"/>
  <c r="I150" i="1" s="1"/>
  <c r="D149" i="1"/>
  <c r="F148" i="1"/>
  <c r="I148" i="1" s="1"/>
  <c r="F147" i="1"/>
  <c r="I147" i="1" s="1"/>
  <c r="F146" i="1"/>
  <c r="I146" i="1" s="1"/>
  <c r="F145" i="1"/>
  <c r="I145" i="1" s="1"/>
  <c r="F144" i="1"/>
  <c r="I144" i="1" s="1"/>
  <c r="F143" i="1"/>
  <c r="I143" i="1" s="1"/>
  <c r="F142" i="1"/>
  <c r="I142" i="1" s="1"/>
  <c r="F141" i="1"/>
  <c r="I141" i="1" s="1"/>
  <c r="H140" i="1"/>
  <c r="G140" i="1"/>
  <c r="E140" i="1"/>
  <c r="D140" i="1"/>
  <c r="F139" i="1"/>
  <c r="I139" i="1" s="1"/>
  <c r="H138" i="1"/>
  <c r="H61" i="1" s="1"/>
  <c r="F138" i="1"/>
  <c r="I138" i="1" s="1"/>
  <c r="H137" i="1"/>
  <c r="F137" i="1"/>
  <c r="I137" i="1" s="1"/>
  <c r="H136" i="1"/>
  <c r="G136" i="1"/>
  <c r="F136" i="1"/>
  <c r="I136" i="1" s="1"/>
  <c r="E136" i="1"/>
  <c r="D136" i="1"/>
  <c r="F135" i="1"/>
  <c r="I135" i="1" s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I129" i="1" s="1"/>
  <c r="F128" i="1"/>
  <c r="I128" i="1" s="1"/>
  <c r="F127" i="1"/>
  <c r="I127" i="1" s="1"/>
  <c r="H126" i="1"/>
  <c r="G126" i="1"/>
  <c r="E126" i="1"/>
  <c r="D126" i="1"/>
  <c r="F126" i="1" s="1"/>
  <c r="I126" i="1" s="1"/>
  <c r="F125" i="1"/>
  <c r="I125" i="1" s="1"/>
  <c r="F124" i="1"/>
  <c r="I124" i="1" s="1"/>
  <c r="F123" i="1"/>
  <c r="I123" i="1" s="1"/>
  <c r="H122" i="1"/>
  <c r="H45" i="1" s="1"/>
  <c r="F122" i="1"/>
  <c r="I122" i="1" s="1"/>
  <c r="H121" i="1"/>
  <c r="F121" i="1"/>
  <c r="I121" i="1" s="1"/>
  <c r="H120" i="1"/>
  <c r="F120" i="1"/>
  <c r="I120" i="1" s="1"/>
  <c r="H119" i="1"/>
  <c r="F119" i="1"/>
  <c r="I119" i="1" s="1"/>
  <c r="H118" i="1"/>
  <c r="H116" i="1" s="1"/>
  <c r="F118" i="1"/>
  <c r="I118" i="1" s="1"/>
  <c r="H117" i="1"/>
  <c r="F117" i="1"/>
  <c r="F116" i="1" s="1"/>
  <c r="G116" i="1"/>
  <c r="E116" i="1"/>
  <c r="D116" i="1"/>
  <c r="H115" i="1"/>
  <c r="H38" i="1" s="1"/>
  <c r="F115" i="1"/>
  <c r="I115" i="1" s="1"/>
  <c r="H114" i="1"/>
  <c r="F114" i="1"/>
  <c r="I114" i="1" s="1"/>
  <c r="H113" i="1"/>
  <c r="F113" i="1"/>
  <c r="I113" i="1" s="1"/>
  <c r="H112" i="1"/>
  <c r="F112" i="1"/>
  <c r="I112" i="1" s="1"/>
  <c r="H111" i="1"/>
  <c r="H34" i="1" s="1"/>
  <c r="H29" i="1" s="1"/>
  <c r="F111" i="1"/>
  <c r="I111" i="1" s="1"/>
  <c r="H110" i="1"/>
  <c r="F110" i="1"/>
  <c r="F106" i="1" s="1"/>
  <c r="H109" i="1"/>
  <c r="F109" i="1"/>
  <c r="I109" i="1" s="1"/>
  <c r="I108" i="1"/>
  <c r="F108" i="1"/>
  <c r="I107" i="1"/>
  <c r="F107" i="1"/>
  <c r="G106" i="1"/>
  <c r="E106" i="1"/>
  <c r="D106" i="1"/>
  <c r="H105" i="1"/>
  <c r="F105" i="1"/>
  <c r="I105" i="1" s="1"/>
  <c r="H104" i="1"/>
  <c r="F104" i="1"/>
  <c r="I104" i="1" s="1"/>
  <c r="H103" i="1"/>
  <c r="F103" i="1"/>
  <c r="I103" i="1" s="1"/>
  <c r="H102" i="1"/>
  <c r="F102" i="1"/>
  <c r="I102" i="1" s="1"/>
  <c r="H101" i="1"/>
  <c r="F101" i="1"/>
  <c r="I101" i="1" s="1"/>
  <c r="H100" i="1"/>
  <c r="F100" i="1"/>
  <c r="I100" i="1" s="1"/>
  <c r="H99" i="1"/>
  <c r="F99" i="1"/>
  <c r="I99" i="1" s="1"/>
  <c r="H98" i="1"/>
  <c r="F98" i="1"/>
  <c r="I98" i="1" s="1"/>
  <c r="H97" i="1"/>
  <c r="F97" i="1"/>
  <c r="I97" i="1" s="1"/>
  <c r="I96" i="1" s="1"/>
  <c r="H96" i="1"/>
  <c r="G96" i="1"/>
  <c r="F96" i="1"/>
  <c r="E96" i="1"/>
  <c r="D96" i="1"/>
  <c r="H95" i="1"/>
  <c r="F95" i="1"/>
  <c r="I95" i="1" s="1"/>
  <c r="I94" i="1"/>
  <c r="F94" i="1"/>
  <c r="H93" i="1"/>
  <c r="F93" i="1"/>
  <c r="I93" i="1" s="1"/>
  <c r="H92" i="1"/>
  <c r="F92" i="1"/>
  <c r="I92" i="1" s="1"/>
  <c r="H91" i="1"/>
  <c r="F91" i="1"/>
  <c r="I91" i="1" s="1"/>
  <c r="H90" i="1"/>
  <c r="F90" i="1"/>
  <c r="I90" i="1" s="1"/>
  <c r="H89" i="1"/>
  <c r="F89" i="1"/>
  <c r="I89" i="1" s="1"/>
  <c r="I88" i="1" s="1"/>
  <c r="H88" i="1"/>
  <c r="G88" i="1"/>
  <c r="F88" i="1"/>
  <c r="E88" i="1"/>
  <c r="D88" i="1"/>
  <c r="D87" i="1" s="1"/>
  <c r="F83" i="1"/>
  <c r="I83" i="1" s="1"/>
  <c r="F82" i="1"/>
  <c r="I82" i="1" s="1"/>
  <c r="F81" i="1"/>
  <c r="I81" i="1" s="1"/>
  <c r="F80" i="1"/>
  <c r="I80" i="1" s="1"/>
  <c r="F79" i="1"/>
  <c r="I79" i="1" s="1"/>
  <c r="H78" i="1"/>
  <c r="H76" i="1" s="1"/>
  <c r="G78" i="1"/>
  <c r="F78" i="1"/>
  <c r="E78" i="1"/>
  <c r="I77" i="1"/>
  <c r="F77" i="1"/>
  <c r="G76" i="1"/>
  <c r="E76" i="1"/>
  <c r="D76" i="1"/>
  <c r="I75" i="1"/>
  <c r="F75" i="1"/>
  <c r="H74" i="1"/>
  <c r="H72" i="1" s="1"/>
  <c r="G74" i="1"/>
  <c r="F74" i="1"/>
  <c r="F73" i="1"/>
  <c r="E73" i="1"/>
  <c r="G72" i="1"/>
  <c r="E72" i="1"/>
  <c r="D72" i="1"/>
  <c r="I71" i="1"/>
  <c r="F71" i="1"/>
  <c r="I70" i="1"/>
  <c r="F70" i="1"/>
  <c r="I69" i="1"/>
  <c r="F69" i="1"/>
  <c r="I68" i="1"/>
  <c r="F68" i="1"/>
  <c r="I67" i="1"/>
  <c r="F67" i="1"/>
  <c r="I66" i="1"/>
  <c r="F66" i="1"/>
  <c r="I65" i="1"/>
  <c r="F65" i="1"/>
  <c r="I64" i="1"/>
  <c r="F64" i="1"/>
  <c r="I63" i="1"/>
  <c r="H63" i="1"/>
  <c r="G63" i="1"/>
  <c r="F63" i="1"/>
  <c r="E63" i="1"/>
  <c r="D63" i="1"/>
  <c r="I62" i="1"/>
  <c r="F62" i="1"/>
  <c r="G61" i="1"/>
  <c r="E61" i="1"/>
  <c r="F61" i="1" s="1"/>
  <c r="I61" i="1" s="1"/>
  <c r="H60" i="1"/>
  <c r="H59" i="1" s="1"/>
  <c r="G60" i="1"/>
  <c r="F60" i="1"/>
  <c r="E60" i="1"/>
  <c r="G59" i="1"/>
  <c r="D59" i="1"/>
  <c r="E58" i="1"/>
  <c r="F58" i="1" s="1"/>
  <c r="I58" i="1" s="1"/>
  <c r="F57" i="1"/>
  <c r="I57" i="1" s="1"/>
  <c r="F56" i="1"/>
  <c r="I56" i="1" s="1"/>
  <c r="F55" i="1"/>
  <c r="I55" i="1" s="1"/>
  <c r="I54" i="1"/>
  <c r="F54" i="1"/>
  <c r="E53" i="1"/>
  <c r="F53" i="1" s="1"/>
  <c r="I53" i="1" s="1"/>
  <c r="F52" i="1"/>
  <c r="I52" i="1" s="1"/>
  <c r="F51" i="1"/>
  <c r="I51" i="1" s="1"/>
  <c r="F50" i="1"/>
  <c r="I50" i="1" s="1"/>
  <c r="E50" i="1"/>
  <c r="H49" i="1"/>
  <c r="G49" i="1"/>
  <c r="E49" i="1"/>
  <c r="D49" i="1"/>
  <c r="I48" i="1"/>
  <c r="F48" i="1"/>
  <c r="I47" i="1"/>
  <c r="F47" i="1"/>
  <c r="I46" i="1"/>
  <c r="F46" i="1"/>
  <c r="G45" i="1"/>
  <c r="E45" i="1"/>
  <c r="F45" i="1" s="1"/>
  <c r="I45" i="1" s="1"/>
  <c r="F44" i="1"/>
  <c r="I44" i="1" s="1"/>
  <c r="H43" i="1"/>
  <c r="G43" i="1"/>
  <c r="F43" i="1"/>
  <c r="I43" i="1" s="1"/>
  <c r="E43" i="1"/>
  <c r="E42" i="1"/>
  <c r="F42" i="1" s="1"/>
  <c r="I42" i="1" s="1"/>
  <c r="F41" i="1"/>
  <c r="I41" i="1" s="1"/>
  <c r="H40" i="1"/>
  <c r="H39" i="1" s="1"/>
  <c r="G40" i="1"/>
  <c r="F40" i="1"/>
  <c r="I40" i="1" s="1"/>
  <c r="I39" i="1" s="1"/>
  <c r="E40" i="1"/>
  <c r="G39" i="1"/>
  <c r="E39" i="1"/>
  <c r="D39" i="1"/>
  <c r="G38" i="1"/>
  <c r="E38" i="1"/>
  <c r="F38" i="1" s="1"/>
  <c r="I38" i="1" s="1"/>
  <c r="F37" i="1"/>
  <c r="I37" i="1" s="1"/>
  <c r="E37" i="1"/>
  <c r="E36" i="1"/>
  <c r="F36" i="1" s="1"/>
  <c r="I36" i="1" s="1"/>
  <c r="F35" i="1"/>
  <c r="I35" i="1" s="1"/>
  <c r="E35" i="1"/>
  <c r="G34" i="1"/>
  <c r="E34" i="1"/>
  <c r="F34" i="1" s="1"/>
  <c r="I34" i="1" s="1"/>
  <c r="F33" i="1"/>
  <c r="I33" i="1" s="1"/>
  <c r="E33" i="1"/>
  <c r="H32" i="1"/>
  <c r="G32" i="1"/>
  <c r="E32" i="1"/>
  <c r="F32" i="1" s="1"/>
  <c r="I32" i="1" s="1"/>
  <c r="F31" i="1"/>
  <c r="I31" i="1" s="1"/>
  <c r="F30" i="1"/>
  <c r="I30" i="1" s="1"/>
  <c r="I29" i="1" s="1"/>
  <c r="E30" i="1"/>
  <c r="G29" i="1"/>
  <c r="E29" i="1"/>
  <c r="D29" i="1"/>
  <c r="E28" i="1"/>
  <c r="D28" i="1"/>
  <c r="F28" i="1" s="1"/>
  <c r="I28" i="1" s="1"/>
  <c r="I27" i="1"/>
  <c r="F27" i="1"/>
  <c r="E26" i="1"/>
  <c r="F26" i="1" s="1"/>
  <c r="I26" i="1" s="1"/>
  <c r="F25" i="1"/>
  <c r="I25" i="1" s="1"/>
  <c r="E25" i="1"/>
  <c r="H24" i="1"/>
  <c r="G24" i="1"/>
  <c r="E24" i="1"/>
  <c r="F24" i="1" s="1"/>
  <c r="I24" i="1" s="1"/>
  <c r="F23" i="1"/>
  <c r="I23" i="1" s="1"/>
  <c r="E23" i="1"/>
  <c r="I22" i="1"/>
  <c r="F22" i="1"/>
  <c r="E21" i="1"/>
  <c r="F21" i="1" s="1"/>
  <c r="I21" i="1" s="1"/>
  <c r="H20" i="1"/>
  <c r="H19" i="1" s="1"/>
  <c r="H10" i="1" s="1"/>
  <c r="G20" i="1"/>
  <c r="F20" i="1"/>
  <c r="I20" i="1" s="1"/>
  <c r="I19" i="1" s="1"/>
  <c r="E20" i="1"/>
  <c r="G19" i="1"/>
  <c r="E19" i="1"/>
  <c r="D19" i="1"/>
  <c r="I18" i="1"/>
  <c r="F18" i="1"/>
  <c r="I17" i="1"/>
  <c r="F17" i="1"/>
  <c r="H16" i="1"/>
  <c r="G16" i="1"/>
  <c r="E16" i="1"/>
  <c r="F16" i="1" s="1"/>
  <c r="I16" i="1" s="1"/>
  <c r="G15" i="1"/>
  <c r="E15" i="1"/>
  <c r="F15" i="1" s="1"/>
  <c r="I15" i="1" s="1"/>
  <c r="G14" i="1"/>
  <c r="E14" i="1"/>
  <c r="F14" i="1" s="1"/>
  <c r="I14" i="1" s="1"/>
  <c r="F13" i="1"/>
  <c r="I13" i="1" s="1"/>
  <c r="G12" i="1"/>
  <c r="G11" i="1" s="1"/>
  <c r="G10" i="1" s="1"/>
  <c r="E12" i="1"/>
  <c r="F12" i="1" s="1"/>
  <c r="H11" i="1"/>
  <c r="D11" i="1"/>
  <c r="D10" i="1"/>
  <c r="D162" i="1" s="1"/>
  <c r="I12" i="1" l="1"/>
  <c r="F11" i="1"/>
  <c r="I73" i="1"/>
  <c r="I72" i="1" s="1"/>
  <c r="F72" i="1"/>
  <c r="I110" i="1"/>
  <c r="I106" i="1" s="1"/>
  <c r="I117" i="1"/>
  <c r="I116" i="1" s="1"/>
  <c r="H152" i="1"/>
  <c r="H149" i="1" s="1"/>
  <c r="G149" i="1"/>
  <c r="G87" i="1" s="1"/>
  <c r="G162" i="1" s="1"/>
  <c r="I156" i="1"/>
  <c r="F153" i="1"/>
  <c r="I153" i="1" s="1"/>
  <c r="E11" i="1"/>
  <c r="E10" i="1" s="1"/>
  <c r="F19" i="1"/>
  <c r="F29" i="1"/>
  <c r="F39" i="1"/>
  <c r="F49" i="1"/>
  <c r="I49" i="1" s="1"/>
  <c r="E59" i="1"/>
  <c r="I60" i="1"/>
  <c r="I59" i="1" s="1"/>
  <c r="F59" i="1"/>
  <c r="I78" i="1"/>
  <c r="I76" i="1" s="1"/>
  <c r="F76" i="1"/>
  <c r="E87" i="1"/>
  <c r="H106" i="1"/>
  <c r="H87" i="1" s="1"/>
  <c r="H162" i="1" s="1"/>
  <c r="F140" i="1"/>
  <c r="I140" i="1" s="1"/>
  <c r="F152" i="1"/>
  <c r="I152" i="1" s="1"/>
  <c r="E149" i="1"/>
  <c r="E162" i="1" l="1"/>
  <c r="I11" i="1"/>
  <c r="I10" i="1" s="1"/>
  <c r="F10" i="1"/>
  <c r="F149" i="1"/>
  <c r="I149" i="1" s="1"/>
  <c r="I87" i="1" s="1"/>
  <c r="I162" i="1" l="1"/>
  <c r="F162" i="1"/>
  <c r="F87" i="1"/>
</calcChain>
</file>

<file path=xl/sharedStrings.xml><?xml version="1.0" encoding="utf-8"?>
<sst xmlns="http://schemas.openxmlformats.org/spreadsheetml/2006/main" count="164" uniqueCount="91">
  <si>
    <t>Formato 6 a) Estado Analítico del Ejercicio del Presupuesto de Egresos Detallado - LDF</t>
  </si>
  <si>
    <t>(Clasificación por Objeto del Gasto)</t>
  </si>
  <si>
    <t>Sector Central del Poder Ejecutivo del Estado Libre y Soberano de México</t>
  </si>
  <si>
    <t>Estado Analítico del Ejercicio del Presupuesto de Egresos Detallado - LDF</t>
  </si>
  <si>
    <t xml:space="preserve">Clasificación por Objeto del Gasto (Capítulo y Concepto) </t>
  </si>
  <si>
    <t>Del 1 de enero al 30 de diciembre de 2021 (b)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</si>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</sst>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#,##0.000000000"/>
    <numFmt numFmtId="166" formatCode="#,##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164" fontId="3" fillId="0" borderId="12" xfId="1" applyNumberFormat="1" applyFont="1" applyFill="1" applyBorder="1" applyAlignment="1">
      <alignment horizontal="center" vertical="center"/>
    </xf>
    <xf numFmtId="164" fontId="5" fillId="0" borderId="0" xfId="0" applyNumberFormat="1" applyFont="1"/>
    <xf numFmtId="0" fontId="5" fillId="0" borderId="0" xfId="0" applyFont="1"/>
    <xf numFmtId="164" fontId="3" fillId="0" borderId="10" xfId="0" applyNumberFormat="1" applyFont="1" applyFill="1" applyBorder="1"/>
    <xf numFmtId="164" fontId="3" fillId="0" borderId="11" xfId="0" applyNumberFormat="1" applyFont="1" applyFill="1" applyBorder="1"/>
    <xf numFmtId="164" fontId="4" fillId="0" borderId="0" xfId="0" applyNumberFormat="1" applyFont="1" applyFill="1"/>
    <xf numFmtId="164" fontId="4" fillId="0" borderId="11" xfId="0" applyNumberFormat="1" applyFont="1" applyFill="1" applyBorder="1"/>
    <xf numFmtId="43" fontId="5" fillId="0" borderId="0" xfId="1" applyFont="1"/>
    <xf numFmtId="164" fontId="5" fillId="0" borderId="0" xfId="0" applyNumberFormat="1" applyFont="1" applyFill="1"/>
    <xf numFmtId="0" fontId="5" fillId="0" borderId="0" xfId="0" applyFont="1" applyFill="1"/>
    <xf numFmtId="43" fontId="2" fillId="0" borderId="0" xfId="1" applyFont="1"/>
    <xf numFmtId="164" fontId="4" fillId="0" borderId="12" xfId="0" applyNumberFormat="1" applyFont="1" applyFill="1" applyBorder="1"/>
    <xf numFmtId="164" fontId="4" fillId="0" borderId="10" xfId="0" applyNumberFormat="1" applyFont="1" applyFill="1" applyBorder="1"/>
    <xf numFmtId="165" fontId="5" fillId="0" borderId="0" xfId="0" applyNumberFormat="1" applyFont="1"/>
    <xf numFmtId="166" fontId="5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75"/>
  <sheetViews>
    <sheetView showGridLines="0" tabSelected="1" topLeftCell="B1" zoomScaleNormal="100" workbookViewId="0">
      <pane ySplit="9" topLeftCell="A10" activePane="bottomLeft" state="frozen"/>
      <selection pane="bottomLeft" activeCell="B11" sqref="B11:C11"/>
    </sheetView>
  </sheetViews>
  <sheetFormatPr baseColWidth="10" defaultColWidth="11.42578125" defaultRowHeight="14.25" x14ac:dyDescent="0.2"/>
  <cols>
    <col min="1" max="1" width="11.42578125" style="29"/>
    <col min="2" max="2" width="3.140625" style="29" customWidth="1"/>
    <col min="3" max="3" width="48.5703125" style="29" bestFit="1" customWidth="1"/>
    <col min="4" max="4" width="13.85546875" style="28" bestFit="1" customWidth="1"/>
    <col min="5" max="5" width="14" style="28" customWidth="1"/>
    <col min="6" max="6" width="18.140625" style="28" customWidth="1"/>
    <col min="7" max="7" width="18.42578125" style="28" customWidth="1"/>
    <col min="8" max="8" width="16.140625" style="28" customWidth="1"/>
    <col min="9" max="9" width="12.7109375" style="28" bestFit="1" customWidth="1"/>
    <col min="10" max="10" width="12.5703125" style="28" bestFit="1" customWidth="1"/>
    <col min="11" max="11" width="18" style="29" bestFit="1" customWidth="1"/>
    <col min="12" max="12" width="17.140625" style="29" customWidth="1"/>
    <col min="13" max="14" width="14.140625" style="29" bestFit="1" customWidth="1"/>
    <col min="15" max="16384" width="11.42578125" style="29"/>
  </cols>
  <sheetData>
    <row r="1" spans="2:12" ht="15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12" ht="15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2:12" x14ac:dyDescent="0.2">
      <c r="B3" s="3" t="s">
        <v>2</v>
      </c>
      <c r="C3" s="4"/>
      <c r="D3" s="4"/>
      <c r="E3" s="4"/>
      <c r="F3" s="4"/>
      <c r="G3" s="4"/>
      <c r="H3" s="4"/>
      <c r="I3" s="5"/>
    </row>
    <row r="4" spans="2:12" x14ac:dyDescent="0.2">
      <c r="B4" s="6" t="s">
        <v>3</v>
      </c>
      <c r="C4" s="7"/>
      <c r="D4" s="7"/>
      <c r="E4" s="7"/>
      <c r="F4" s="7"/>
      <c r="G4" s="7"/>
      <c r="H4" s="7"/>
      <c r="I4" s="8"/>
    </row>
    <row r="5" spans="2:12" x14ac:dyDescent="0.2">
      <c r="B5" s="6" t="s">
        <v>4</v>
      </c>
      <c r="C5" s="7"/>
      <c r="D5" s="7"/>
      <c r="E5" s="7"/>
      <c r="F5" s="7"/>
      <c r="G5" s="7"/>
      <c r="H5" s="7"/>
      <c r="I5" s="8"/>
    </row>
    <row r="6" spans="2:12" x14ac:dyDescent="0.2">
      <c r="B6" s="6" t="s">
        <v>5</v>
      </c>
      <c r="C6" s="7"/>
      <c r="D6" s="7"/>
      <c r="E6" s="7"/>
      <c r="F6" s="7"/>
      <c r="G6" s="7"/>
      <c r="H6" s="7"/>
      <c r="I6" s="8"/>
    </row>
    <row r="7" spans="2:12" x14ac:dyDescent="0.2">
      <c r="B7" s="9" t="s">
        <v>6</v>
      </c>
      <c r="C7" s="10"/>
      <c r="D7" s="10"/>
      <c r="E7" s="10"/>
      <c r="F7" s="10"/>
      <c r="G7" s="10"/>
      <c r="H7" s="10"/>
      <c r="I7" s="11"/>
    </row>
    <row r="8" spans="2:12" x14ac:dyDescent="0.2">
      <c r="B8" s="12" t="s">
        <v>7</v>
      </c>
      <c r="C8" s="12"/>
      <c r="D8" s="13" t="s">
        <v>8</v>
      </c>
      <c r="E8" s="13"/>
      <c r="F8" s="13"/>
      <c r="G8" s="13"/>
      <c r="H8" s="13"/>
      <c r="I8" s="13" t="s">
        <v>9</v>
      </c>
    </row>
    <row r="9" spans="2:12" ht="18" x14ac:dyDescent="0.2">
      <c r="B9" s="12"/>
      <c r="C9" s="12"/>
      <c r="D9" s="14" t="s">
        <v>10</v>
      </c>
      <c r="E9" s="15" t="s">
        <v>11</v>
      </c>
      <c r="F9" s="14" t="s">
        <v>12</v>
      </c>
      <c r="G9" s="14" t="s">
        <v>13</v>
      </c>
      <c r="H9" s="14" t="s">
        <v>14</v>
      </c>
      <c r="I9" s="13"/>
    </row>
    <row r="10" spans="2:12" x14ac:dyDescent="0.2">
      <c r="B10" s="16" t="s">
        <v>15</v>
      </c>
      <c r="C10" s="17"/>
      <c r="D10" s="30">
        <f t="shared" ref="D10:I10" si="0">+D11+D19+D29+D39+D49+D59+D63+D72+D76</f>
        <v>179256711.5</v>
      </c>
      <c r="E10" s="30">
        <f t="shared" si="0"/>
        <v>6342845.5600000005</v>
      </c>
      <c r="F10" s="30">
        <f t="shared" si="0"/>
        <v>185599557.06000003</v>
      </c>
      <c r="G10" s="30">
        <f t="shared" si="0"/>
        <v>177759807.31166002</v>
      </c>
      <c r="H10" s="30">
        <f t="shared" si="0"/>
        <v>170396848.57143998</v>
      </c>
      <c r="I10" s="30">
        <f t="shared" si="0"/>
        <v>7839749.723340001</v>
      </c>
      <c r="K10" s="28"/>
    </row>
    <row r="11" spans="2:12" x14ac:dyDescent="0.2">
      <c r="B11" s="18" t="s">
        <v>16</v>
      </c>
      <c r="C11" s="19"/>
      <c r="D11" s="31">
        <f>SUM(D12:D18)</f>
        <v>51709675.399999991</v>
      </c>
      <c r="E11" s="31">
        <f>SUM(E12:E18)</f>
        <v>-3225347</v>
      </c>
      <c r="F11" s="31">
        <f>SUM(F12:F18)</f>
        <v>48484328.399999999</v>
      </c>
      <c r="G11" s="31">
        <f>SUM(G12:G18)</f>
        <v>47775586.399999999</v>
      </c>
      <c r="H11" s="31">
        <f>SUM(H12:H18)</f>
        <v>47775586.399999999</v>
      </c>
      <c r="I11" s="31">
        <f>+F11-G11</f>
        <v>708742</v>
      </c>
    </row>
    <row r="12" spans="2:12" x14ac:dyDescent="0.2">
      <c r="B12" s="20"/>
      <c r="C12" s="21" t="s">
        <v>17</v>
      </c>
      <c r="D12" s="32">
        <v>17495525.100000001</v>
      </c>
      <c r="E12" s="33">
        <f>1050921.5-E89</f>
        <v>358093.80000000005</v>
      </c>
      <c r="F12" s="33">
        <f t="shared" ref="F12:F18" si="1">+D12+E12</f>
        <v>17853618.900000002</v>
      </c>
      <c r="G12" s="33">
        <f>25893938.6-G89</f>
        <v>17800517.800000001</v>
      </c>
      <c r="H12" s="33">
        <v>17800517.800000001</v>
      </c>
      <c r="I12" s="33">
        <f>+F12-G12</f>
        <v>53101.10000000149</v>
      </c>
      <c r="K12" s="28"/>
    </row>
    <row r="13" spans="2:12" x14ac:dyDescent="0.2">
      <c r="B13" s="20"/>
      <c r="C13" s="21" t="s">
        <v>18</v>
      </c>
      <c r="D13" s="32">
        <v>227219.3</v>
      </c>
      <c r="E13" s="33">
        <v>-55992.1</v>
      </c>
      <c r="F13" s="33">
        <f t="shared" si="1"/>
        <v>171227.19999999998</v>
      </c>
      <c r="G13" s="33">
        <v>162127.70000000001</v>
      </c>
      <c r="H13" s="33">
        <v>162127.70000000001</v>
      </c>
      <c r="I13" s="33">
        <f>+F13-G13</f>
        <v>9099.4999999999709</v>
      </c>
    </row>
    <row r="14" spans="2:12" x14ac:dyDescent="0.2">
      <c r="B14" s="20"/>
      <c r="C14" s="21" t="s">
        <v>19</v>
      </c>
      <c r="D14" s="32">
        <v>18102205.399999999</v>
      </c>
      <c r="E14" s="33">
        <f>1121315.4-E91</f>
        <v>1507784.5999999999</v>
      </c>
      <c r="F14" s="33">
        <f t="shared" si="1"/>
        <v>19609990</v>
      </c>
      <c r="G14" s="33">
        <f>20569657.7-G91</f>
        <v>19357807.800000001</v>
      </c>
      <c r="H14" s="33">
        <v>19357807.899999999</v>
      </c>
      <c r="I14" s="33">
        <f>+F14-G14</f>
        <v>252182.19999999925</v>
      </c>
      <c r="K14" s="28"/>
      <c r="L14" s="28"/>
    </row>
    <row r="15" spans="2:12" x14ac:dyDescent="0.2">
      <c r="B15" s="20"/>
      <c r="C15" s="21" t="s">
        <v>20</v>
      </c>
      <c r="D15" s="32">
        <v>7022532.7999999998</v>
      </c>
      <c r="E15" s="33">
        <f>593416.2-E92</f>
        <v>-3653539.0999999996</v>
      </c>
      <c r="F15" s="33">
        <f t="shared" si="1"/>
        <v>3368993.7</v>
      </c>
      <c r="G15" s="33">
        <f>8041927.8-G92</f>
        <v>3194407.3999999994</v>
      </c>
      <c r="H15" s="33">
        <v>3194407.3</v>
      </c>
      <c r="I15" s="33">
        <f>+F15-15</f>
        <v>3368978.7</v>
      </c>
    </row>
    <row r="16" spans="2:12" x14ac:dyDescent="0.2">
      <c r="B16" s="20"/>
      <c r="C16" s="21" t="s">
        <v>21</v>
      </c>
      <c r="D16" s="32">
        <v>8477577.2999999989</v>
      </c>
      <c r="E16" s="33">
        <f>-953711.6-E93</f>
        <v>-1440778.1</v>
      </c>
      <c r="F16" s="33">
        <f t="shared" si="1"/>
        <v>7036799.1999999993</v>
      </c>
      <c r="G16" s="33">
        <f>8454450-G93</f>
        <v>6851443.0999999996</v>
      </c>
      <c r="H16" s="33">
        <f>8454450-H93</f>
        <v>6851443.0999999996</v>
      </c>
      <c r="I16" s="33">
        <f>+F16-G16</f>
        <v>185356.09999999963</v>
      </c>
    </row>
    <row r="17" spans="2:11" x14ac:dyDescent="0.2">
      <c r="B17" s="20"/>
      <c r="C17" s="21" t="s">
        <v>22</v>
      </c>
      <c r="D17" s="32">
        <v>0</v>
      </c>
      <c r="E17" s="33">
        <v>0</v>
      </c>
      <c r="F17" s="33">
        <f t="shared" si="1"/>
        <v>0</v>
      </c>
      <c r="G17" s="33">
        <v>0</v>
      </c>
      <c r="H17" s="33">
        <v>0</v>
      </c>
      <c r="I17" s="33">
        <f>+F17-G17</f>
        <v>0</v>
      </c>
    </row>
    <row r="18" spans="2:11" x14ac:dyDescent="0.2">
      <c r="B18" s="20"/>
      <c r="C18" s="21" t="s">
        <v>23</v>
      </c>
      <c r="D18" s="33">
        <v>384615.5</v>
      </c>
      <c r="E18" s="33">
        <v>59083.9</v>
      </c>
      <c r="F18" s="33">
        <f t="shared" si="1"/>
        <v>443699.4</v>
      </c>
      <c r="G18" s="33">
        <v>409282.6</v>
      </c>
      <c r="H18" s="33">
        <v>409282.6</v>
      </c>
      <c r="I18" s="33">
        <f>+F18-G18</f>
        <v>34416.800000000047</v>
      </c>
    </row>
    <row r="19" spans="2:11" x14ac:dyDescent="0.2">
      <c r="B19" s="18" t="s">
        <v>24</v>
      </c>
      <c r="C19" s="19"/>
      <c r="D19" s="31">
        <f t="shared" ref="D19:I19" si="2">SUM(D20:D28)</f>
        <v>2280370</v>
      </c>
      <c r="E19" s="31">
        <f t="shared" si="2"/>
        <v>60158.599999999948</v>
      </c>
      <c r="F19" s="31">
        <f t="shared" si="2"/>
        <v>2340528.5999999996</v>
      </c>
      <c r="G19" s="31">
        <f t="shared" si="2"/>
        <v>1996035.0159</v>
      </c>
      <c r="H19" s="31">
        <f t="shared" si="2"/>
        <v>1429365.9378000002</v>
      </c>
      <c r="I19" s="31">
        <f t="shared" si="2"/>
        <v>344493.58409999992</v>
      </c>
      <c r="K19" s="28"/>
    </row>
    <row r="20" spans="2:11" x14ac:dyDescent="0.2">
      <c r="B20" s="20"/>
      <c r="C20" s="21" t="s">
        <v>25</v>
      </c>
      <c r="D20" s="33">
        <v>444327.2</v>
      </c>
      <c r="E20" s="33">
        <f>-104018.5-E97</f>
        <v>-103806.7</v>
      </c>
      <c r="F20" s="33">
        <f t="shared" ref="F20:F28" si="3">+D20+E20</f>
        <v>340520.5</v>
      </c>
      <c r="G20" s="33">
        <f>182298.8-G97</f>
        <v>182280.59999999998</v>
      </c>
      <c r="H20" s="33">
        <f>115913.9-H97</f>
        <v>115895.7</v>
      </c>
      <c r="I20" s="33">
        <f t="shared" ref="I20:I28" si="4">+F20-G20</f>
        <v>158239.90000000002</v>
      </c>
    </row>
    <row r="21" spans="2:11" x14ac:dyDescent="0.2">
      <c r="B21" s="20"/>
      <c r="C21" s="21" t="s">
        <v>26</v>
      </c>
      <c r="D21" s="33">
        <v>960859.4</v>
      </c>
      <c r="E21" s="33">
        <f>294765.8-E98</f>
        <v>294808.8</v>
      </c>
      <c r="F21" s="33">
        <f t="shared" si="3"/>
        <v>1255668.2</v>
      </c>
      <c r="G21" s="33">
        <v>1197321.1000000001</v>
      </c>
      <c r="H21" s="33">
        <v>832729.4</v>
      </c>
      <c r="I21" s="33">
        <f t="shared" si="4"/>
        <v>58347.09999999986</v>
      </c>
    </row>
    <row r="22" spans="2:11" x14ac:dyDescent="0.2">
      <c r="B22" s="20"/>
      <c r="C22" s="21" t="s">
        <v>27</v>
      </c>
      <c r="D22" s="33">
        <v>-56.7</v>
      </c>
      <c r="E22" s="33">
        <v>199.5</v>
      </c>
      <c r="F22" s="33">
        <f t="shared" si="3"/>
        <v>142.80000000000001</v>
      </c>
      <c r="G22" s="33">
        <v>113.9</v>
      </c>
      <c r="H22" s="33">
        <v>113.9</v>
      </c>
      <c r="I22" s="33">
        <f t="shared" si="4"/>
        <v>28.900000000000006</v>
      </c>
    </row>
    <row r="23" spans="2:11" x14ac:dyDescent="0.2">
      <c r="B23" s="20"/>
      <c r="C23" s="21" t="s">
        <v>28</v>
      </c>
      <c r="D23" s="33">
        <v>69408.600000000006</v>
      </c>
      <c r="E23" s="33">
        <f>5068.3</f>
        <v>5068.3</v>
      </c>
      <c r="F23" s="33">
        <f t="shared" si="3"/>
        <v>74476.900000000009</v>
      </c>
      <c r="G23" s="33">
        <v>67965.5</v>
      </c>
      <c r="H23" s="33">
        <v>38714.400000000001</v>
      </c>
      <c r="I23" s="33">
        <f t="shared" si="4"/>
        <v>6511.4000000000087</v>
      </c>
    </row>
    <row r="24" spans="2:11" x14ac:dyDescent="0.2">
      <c r="B24" s="20"/>
      <c r="C24" s="21" t="s">
        <v>29</v>
      </c>
      <c r="D24" s="33">
        <v>56181.9</v>
      </c>
      <c r="E24" s="33">
        <f>4424.3-E101</f>
        <v>4368.3</v>
      </c>
      <c r="F24" s="33">
        <f t="shared" si="3"/>
        <v>60550.200000000004</v>
      </c>
      <c r="G24" s="33">
        <f>45457.83681-G101</f>
        <v>45444.836810000001</v>
      </c>
      <c r="H24" s="33">
        <f>24205.2-H101</f>
        <v>24192.2</v>
      </c>
      <c r="I24" s="33">
        <f t="shared" si="4"/>
        <v>15105.363190000004</v>
      </c>
    </row>
    <row r="25" spans="2:11" x14ac:dyDescent="0.2">
      <c r="B25" s="20"/>
      <c r="C25" s="21" t="s">
        <v>30</v>
      </c>
      <c r="D25" s="33">
        <v>421264.6</v>
      </c>
      <c r="E25" s="33">
        <f>-18981.6-E102</f>
        <v>-18981.599999999999</v>
      </c>
      <c r="F25" s="33">
        <f t="shared" si="3"/>
        <v>402283</v>
      </c>
      <c r="G25" s="33">
        <v>331421.09999999998</v>
      </c>
      <c r="H25" s="33">
        <v>329928.2</v>
      </c>
      <c r="I25" s="33">
        <f t="shared" si="4"/>
        <v>70861.900000000023</v>
      </c>
    </row>
    <row r="26" spans="2:11" x14ac:dyDescent="0.2">
      <c r="B26" s="20"/>
      <c r="C26" s="21" t="s">
        <v>31</v>
      </c>
      <c r="D26" s="33">
        <v>262982.3</v>
      </c>
      <c r="E26" s="33">
        <f>-98074.2-E103</f>
        <v>-98037.8</v>
      </c>
      <c r="F26" s="33">
        <f t="shared" si="3"/>
        <v>164944.5</v>
      </c>
      <c r="G26" s="33">
        <v>147107.03</v>
      </c>
      <c r="H26" s="33">
        <v>73123.3</v>
      </c>
      <c r="I26" s="33">
        <f t="shared" si="4"/>
        <v>17837.47</v>
      </c>
    </row>
    <row r="27" spans="2:11" x14ac:dyDescent="0.2">
      <c r="B27" s="20"/>
      <c r="C27" s="21" t="s">
        <v>32</v>
      </c>
      <c r="D27" s="33">
        <v>33895.699999999997</v>
      </c>
      <c r="E27" s="33">
        <v>-21163.5</v>
      </c>
      <c r="F27" s="33">
        <f t="shared" si="3"/>
        <v>12732.199999999997</v>
      </c>
      <c r="G27" s="33">
        <v>627.98908999999992</v>
      </c>
      <c r="H27" s="33">
        <v>48.055910000000004</v>
      </c>
      <c r="I27" s="33">
        <f t="shared" si="4"/>
        <v>12104.210909999998</v>
      </c>
    </row>
    <row r="28" spans="2:11" x14ac:dyDescent="0.2">
      <c r="B28" s="20"/>
      <c r="C28" s="21" t="s">
        <v>33</v>
      </c>
      <c r="D28" s="33">
        <f>31540-D105</f>
        <v>31507</v>
      </c>
      <c r="E28" s="33">
        <f>-2329.7-E105</f>
        <v>-2296.6999999999998</v>
      </c>
      <c r="F28" s="33">
        <f t="shared" si="3"/>
        <v>29210.3</v>
      </c>
      <c r="G28" s="33">
        <v>23752.959999999999</v>
      </c>
      <c r="H28" s="33">
        <v>14620.78189</v>
      </c>
      <c r="I28" s="33">
        <f t="shared" si="4"/>
        <v>5457.34</v>
      </c>
    </row>
    <row r="29" spans="2:11" x14ac:dyDescent="0.2">
      <c r="B29" s="18" t="s">
        <v>34</v>
      </c>
      <c r="C29" s="19"/>
      <c r="D29" s="31">
        <f t="shared" ref="D29:I29" si="5">SUM(D30:D38)</f>
        <v>11439384.699999999</v>
      </c>
      <c r="E29" s="31">
        <f t="shared" si="5"/>
        <v>269910.30000000005</v>
      </c>
      <c r="F29" s="31">
        <f t="shared" si="5"/>
        <v>11709295.000000002</v>
      </c>
      <c r="G29" s="31">
        <f t="shared" si="5"/>
        <v>9597205.5103200004</v>
      </c>
      <c r="H29" s="31">
        <f t="shared" si="5"/>
        <v>8201936.8752999995</v>
      </c>
      <c r="I29" s="31">
        <f t="shared" si="5"/>
        <v>2112089.4896799996</v>
      </c>
    </row>
    <row r="30" spans="2:11" x14ac:dyDescent="0.2">
      <c r="B30" s="20"/>
      <c r="C30" s="21" t="s">
        <v>35</v>
      </c>
      <c r="D30" s="33">
        <v>649576.30000000005</v>
      </c>
      <c r="E30" s="33">
        <f>200466.3-E107</f>
        <v>200376.3</v>
      </c>
      <c r="F30" s="33">
        <f t="shared" ref="F30:F38" si="6">+D30+E30</f>
        <v>849952.60000000009</v>
      </c>
      <c r="G30" s="33">
        <v>742265.6</v>
      </c>
      <c r="H30" s="33">
        <v>547294.37642999995</v>
      </c>
      <c r="I30" s="33">
        <f t="shared" ref="I30:I38" si="7">+F30-G30</f>
        <v>107687.00000000012</v>
      </c>
    </row>
    <row r="31" spans="2:11" x14ac:dyDescent="0.2">
      <c r="B31" s="20"/>
      <c r="C31" s="21" t="s">
        <v>36</v>
      </c>
      <c r="D31" s="33">
        <v>1404857.7</v>
      </c>
      <c r="E31" s="33">
        <v>46480.9</v>
      </c>
      <c r="F31" s="33">
        <f>+D31+E31</f>
        <v>1451338.5999999999</v>
      </c>
      <c r="G31" s="33">
        <v>1228128.0482300001</v>
      </c>
      <c r="H31" s="33">
        <v>1018024.3</v>
      </c>
      <c r="I31" s="33">
        <f t="shared" si="7"/>
        <v>223210.55176999979</v>
      </c>
    </row>
    <row r="32" spans="2:11" x14ac:dyDescent="0.2">
      <c r="B32" s="20"/>
      <c r="C32" s="21" t="s">
        <v>37</v>
      </c>
      <c r="D32" s="33">
        <v>2804260.4</v>
      </c>
      <c r="E32" s="33">
        <f>-177324.8-E109</f>
        <v>-215667.9</v>
      </c>
      <c r="F32" s="33">
        <f t="shared" si="6"/>
        <v>2588592.5</v>
      </c>
      <c r="G32" s="33">
        <f>2106543.96209-G109</f>
        <v>2066584.96209</v>
      </c>
      <c r="H32" s="33">
        <f>1769893.70115-H109</f>
        <v>1729934.7011500001</v>
      </c>
      <c r="I32" s="33">
        <f t="shared" si="7"/>
        <v>522007.53790999996</v>
      </c>
    </row>
    <row r="33" spans="2:11" x14ac:dyDescent="0.2">
      <c r="B33" s="20"/>
      <c r="C33" s="21" t="s">
        <v>38</v>
      </c>
      <c r="D33" s="33">
        <v>1519235</v>
      </c>
      <c r="E33" s="33">
        <f>-236047.4-E110</f>
        <v>-236047.4</v>
      </c>
      <c r="F33" s="33">
        <f t="shared" si="6"/>
        <v>1283187.6000000001</v>
      </c>
      <c r="G33" s="33">
        <v>706074.5</v>
      </c>
      <c r="H33" s="33">
        <v>534062.09391000005</v>
      </c>
      <c r="I33" s="33">
        <f t="shared" si="7"/>
        <v>577113.10000000009</v>
      </c>
    </row>
    <row r="34" spans="2:11" x14ac:dyDescent="0.2">
      <c r="B34" s="20"/>
      <c r="C34" s="21" t="s">
        <v>39</v>
      </c>
      <c r="D34" s="33">
        <v>674775.6</v>
      </c>
      <c r="E34" s="33">
        <f>547555.3-E111</f>
        <v>547579.4</v>
      </c>
      <c r="F34" s="33">
        <f t="shared" si="6"/>
        <v>1222355</v>
      </c>
      <c r="G34" s="33">
        <f>1156303.9-G111</f>
        <v>1156293.8999999999</v>
      </c>
      <c r="H34" s="33">
        <f>889673.68353-H111</f>
        <v>889663.68353000004</v>
      </c>
      <c r="I34" s="33">
        <f t="shared" si="7"/>
        <v>66061.100000000093</v>
      </c>
    </row>
    <row r="35" spans="2:11" x14ac:dyDescent="0.2">
      <c r="B35" s="20"/>
      <c r="C35" s="21" t="s">
        <v>40</v>
      </c>
      <c r="D35" s="33">
        <v>273929.60000000003</v>
      </c>
      <c r="E35" s="33">
        <f>310599-E112</f>
        <v>310263.59999999998</v>
      </c>
      <c r="F35" s="33">
        <f t="shared" si="6"/>
        <v>584193.19999999995</v>
      </c>
      <c r="G35" s="33">
        <v>569710.80000000005</v>
      </c>
      <c r="H35" s="33">
        <v>540954.68819000002</v>
      </c>
      <c r="I35" s="33">
        <f t="shared" si="7"/>
        <v>14482.399999999907</v>
      </c>
    </row>
    <row r="36" spans="2:11" x14ac:dyDescent="0.2">
      <c r="B36" s="20"/>
      <c r="C36" s="21" t="s">
        <v>41</v>
      </c>
      <c r="D36" s="33">
        <v>51999.199999999997</v>
      </c>
      <c r="E36" s="33">
        <f>-17637.6-E113</f>
        <v>-16335.3</v>
      </c>
      <c r="F36" s="33">
        <f t="shared" si="6"/>
        <v>35663.899999999994</v>
      </c>
      <c r="G36" s="33">
        <v>22662.799999999999</v>
      </c>
      <c r="H36" s="33">
        <v>20602.607100000001</v>
      </c>
      <c r="I36" s="33">
        <f t="shared" si="7"/>
        <v>13001.099999999995</v>
      </c>
    </row>
    <row r="37" spans="2:11" x14ac:dyDescent="0.2">
      <c r="B37" s="20"/>
      <c r="C37" s="21" t="s">
        <v>42</v>
      </c>
      <c r="D37" s="33">
        <v>180210.2</v>
      </c>
      <c r="E37" s="33">
        <f>-22737.1-E114</f>
        <v>-18694.199999999997</v>
      </c>
      <c r="F37" s="33">
        <f t="shared" si="6"/>
        <v>161516</v>
      </c>
      <c r="G37" s="33">
        <v>109314.8</v>
      </c>
      <c r="H37" s="33">
        <v>67987.133809999999</v>
      </c>
      <c r="I37" s="33">
        <f t="shared" si="7"/>
        <v>52201.2</v>
      </c>
    </row>
    <row r="38" spans="2:11" x14ac:dyDescent="0.2">
      <c r="B38" s="20"/>
      <c r="C38" s="21" t="s">
        <v>43</v>
      </c>
      <c r="D38" s="33">
        <v>3880540.7</v>
      </c>
      <c r="E38" s="33">
        <f>-348016-E115</f>
        <v>-348045.1</v>
      </c>
      <c r="F38" s="33">
        <f t="shared" si="6"/>
        <v>3532495.6</v>
      </c>
      <c r="G38" s="33">
        <f>2996507.2-G115</f>
        <v>2996170.1</v>
      </c>
      <c r="H38" s="33">
        <f>2853750.39118-H115</f>
        <v>2853413.2911799997</v>
      </c>
      <c r="I38" s="33">
        <f t="shared" si="7"/>
        <v>536325.5</v>
      </c>
    </row>
    <row r="39" spans="2:11" x14ac:dyDescent="0.2">
      <c r="B39" s="18" t="s">
        <v>44</v>
      </c>
      <c r="C39" s="19"/>
      <c r="D39" s="31">
        <f t="shared" ref="D39:I39" si="8">SUM(D40:D48)</f>
        <v>53765937.399999999</v>
      </c>
      <c r="E39" s="31">
        <f t="shared" si="8"/>
        <v>-316216.70000000019</v>
      </c>
      <c r="F39" s="31">
        <f t="shared" si="8"/>
        <v>53449720.700000003</v>
      </c>
      <c r="G39" s="31">
        <f t="shared" si="8"/>
        <v>49120625.400000006</v>
      </c>
      <c r="H39" s="31">
        <f t="shared" si="8"/>
        <v>46457702.786179997</v>
      </c>
      <c r="I39" s="31">
        <f t="shared" si="8"/>
        <v>4329095.3000000017</v>
      </c>
    </row>
    <row r="40" spans="2:11" x14ac:dyDescent="0.2">
      <c r="B40" s="20"/>
      <c r="C40" s="21" t="s">
        <v>45</v>
      </c>
      <c r="D40" s="33">
        <v>20319715.899999999</v>
      </c>
      <c r="E40" s="33">
        <f>-470198.5-E117</f>
        <v>-2615934.7000000002</v>
      </c>
      <c r="F40" s="33">
        <f t="shared" ref="F40:F48" si="9">+D40+E40</f>
        <v>17703781.199999999</v>
      </c>
      <c r="G40" s="33">
        <f>19359091.1-G117</f>
        <v>17213354.900000002</v>
      </c>
      <c r="H40" s="33">
        <f>19181703.3288-H117</f>
        <v>17035967.128800001</v>
      </c>
      <c r="I40" s="33">
        <f t="shared" ref="I40:I58" si="10">+F40-G40</f>
        <v>490426.29999999702</v>
      </c>
    </row>
    <row r="41" spans="2:11" x14ac:dyDescent="0.2">
      <c r="B41" s="20"/>
      <c r="C41" s="21" t="s">
        <v>46</v>
      </c>
      <c r="D41" s="33">
        <v>35910</v>
      </c>
      <c r="E41" s="33">
        <v>-35910</v>
      </c>
      <c r="F41" s="33">
        <f t="shared" si="9"/>
        <v>0</v>
      </c>
      <c r="G41" s="33">
        <v>0</v>
      </c>
      <c r="H41" s="33">
        <v>0</v>
      </c>
      <c r="I41" s="33">
        <f t="shared" si="10"/>
        <v>0</v>
      </c>
    </row>
    <row r="42" spans="2:11" x14ac:dyDescent="0.2">
      <c r="B42" s="20"/>
      <c r="C42" s="21" t="s">
        <v>47</v>
      </c>
      <c r="D42" s="33">
        <v>6419360.4000000004</v>
      </c>
      <c r="E42" s="33">
        <f>-86218.3-E119</f>
        <v>-85180.5</v>
      </c>
      <c r="F42" s="33">
        <f t="shared" si="9"/>
        <v>6334179.9000000004</v>
      </c>
      <c r="G42" s="33">
        <v>6115938</v>
      </c>
      <c r="H42" s="33">
        <v>5924864.5703100003</v>
      </c>
      <c r="I42" s="33">
        <f t="shared" si="10"/>
        <v>218241.90000000037</v>
      </c>
    </row>
    <row r="43" spans="2:11" x14ac:dyDescent="0.2">
      <c r="B43" s="20"/>
      <c r="C43" s="21" t="s">
        <v>48</v>
      </c>
      <c r="D43" s="33">
        <v>4102192.1</v>
      </c>
      <c r="E43" s="33">
        <f>-973773.8-E120</f>
        <v>-990082.20000000007</v>
      </c>
      <c r="F43" s="33">
        <f t="shared" si="9"/>
        <v>3112109.9</v>
      </c>
      <c r="G43" s="33">
        <f>2980879.9-G120</f>
        <v>2957793.4</v>
      </c>
      <c r="H43" s="33">
        <f>2242589.36758-H120</f>
        <v>2219502.8675799998</v>
      </c>
      <c r="I43" s="33">
        <f t="shared" si="10"/>
        <v>154316.5</v>
      </c>
    </row>
    <row r="44" spans="2:11" x14ac:dyDescent="0.2">
      <c r="B44" s="20"/>
      <c r="C44" s="21" t="s">
        <v>49</v>
      </c>
      <c r="D44" s="33">
        <v>19943.8</v>
      </c>
      <c r="E44" s="33">
        <v>-7933.6</v>
      </c>
      <c r="F44" s="33">
        <f t="shared" si="9"/>
        <v>12010.199999999999</v>
      </c>
      <c r="G44" s="33">
        <v>3491.1</v>
      </c>
      <c r="H44" s="33">
        <v>3491.1181299999998</v>
      </c>
      <c r="I44" s="33">
        <f t="shared" si="10"/>
        <v>8519.0999999999985</v>
      </c>
    </row>
    <row r="45" spans="2:11" x14ac:dyDescent="0.2">
      <c r="B45" s="20"/>
      <c r="C45" s="21" t="s">
        <v>50</v>
      </c>
      <c r="D45" s="33">
        <v>22762689.800000004</v>
      </c>
      <c r="E45" s="33">
        <f>6042203.9-E122</f>
        <v>3409661.3000000003</v>
      </c>
      <c r="F45" s="33">
        <f t="shared" si="9"/>
        <v>26172351.100000005</v>
      </c>
      <c r="G45" s="33">
        <f>80313786.5-G122</f>
        <v>22740729.5</v>
      </c>
      <c r="H45" s="33">
        <f>78782167.38436-H122</f>
        <v>21209110.38436</v>
      </c>
      <c r="I45" s="33">
        <f t="shared" si="10"/>
        <v>3431621.6000000052</v>
      </c>
      <c r="K45" s="28"/>
    </row>
    <row r="46" spans="2:11" x14ac:dyDescent="0.2">
      <c r="B46" s="20"/>
      <c r="C46" s="21" t="s">
        <v>51</v>
      </c>
      <c r="D46" s="33">
        <v>0</v>
      </c>
      <c r="E46" s="33">
        <v>0</v>
      </c>
      <c r="F46" s="33">
        <f t="shared" si="9"/>
        <v>0</v>
      </c>
      <c r="G46" s="33">
        <v>0</v>
      </c>
      <c r="H46" s="33">
        <v>0</v>
      </c>
      <c r="I46" s="33">
        <f t="shared" si="10"/>
        <v>0</v>
      </c>
    </row>
    <row r="47" spans="2:11" x14ac:dyDescent="0.2">
      <c r="B47" s="20"/>
      <c r="C47" s="21" t="s">
        <v>52</v>
      </c>
      <c r="D47" s="33">
        <v>103863.6</v>
      </c>
      <c r="E47" s="33">
        <v>9163</v>
      </c>
      <c r="F47" s="33">
        <f t="shared" si="9"/>
        <v>113026.6</v>
      </c>
      <c r="G47" s="33">
        <v>89318.5</v>
      </c>
      <c r="H47" s="33">
        <v>64766.716999999997</v>
      </c>
      <c r="I47" s="33">
        <f t="shared" si="10"/>
        <v>23708.100000000006</v>
      </c>
    </row>
    <row r="48" spans="2:11" x14ac:dyDescent="0.2">
      <c r="B48" s="20"/>
      <c r="C48" s="21" t="s">
        <v>53</v>
      </c>
      <c r="D48" s="33">
        <v>2261.8000000000002</v>
      </c>
      <c r="E48" s="33">
        <v>0</v>
      </c>
      <c r="F48" s="33">
        <f t="shared" si="9"/>
        <v>2261.8000000000002</v>
      </c>
      <c r="G48" s="33">
        <v>0</v>
      </c>
      <c r="H48" s="33">
        <v>0</v>
      </c>
      <c r="I48" s="33">
        <f t="shared" si="10"/>
        <v>2261.8000000000002</v>
      </c>
    </row>
    <row r="49" spans="2:16" x14ac:dyDescent="0.2">
      <c r="B49" s="18" t="s">
        <v>54</v>
      </c>
      <c r="C49" s="19"/>
      <c r="D49" s="31">
        <f>SUM(D50:D58)</f>
        <v>27747.200000000001</v>
      </c>
      <c r="E49" s="31">
        <f>SUM(E50:E58)</f>
        <v>225093.56000000003</v>
      </c>
      <c r="F49" s="31">
        <f>SUM(F50:F58)</f>
        <v>252840.76000000004</v>
      </c>
      <c r="G49" s="31">
        <f>SUM(G50:G58)</f>
        <v>203253.61838</v>
      </c>
      <c r="H49" s="31">
        <f>SUM(H50:H58)</f>
        <v>2767.1495799999998</v>
      </c>
      <c r="I49" s="31">
        <f t="shared" si="10"/>
        <v>49587.141620000039</v>
      </c>
    </row>
    <row r="50" spans="2:16" x14ac:dyDescent="0.2">
      <c r="B50" s="20"/>
      <c r="C50" s="21" t="s">
        <v>55</v>
      </c>
      <c r="D50" s="33">
        <v>4263.7</v>
      </c>
      <c r="E50" s="33">
        <f>135582.6-E127</f>
        <v>135673.1</v>
      </c>
      <c r="F50" s="33">
        <f t="shared" ref="F50:F58" si="11">+D50+E50</f>
        <v>139936.80000000002</v>
      </c>
      <c r="G50" s="33">
        <v>104244.99618999999</v>
      </c>
      <c r="H50" s="33">
        <v>2380.8225899999998</v>
      </c>
      <c r="I50" s="33">
        <f t="shared" si="10"/>
        <v>35691.803810000027</v>
      </c>
    </row>
    <row r="51" spans="2:16" x14ac:dyDescent="0.2">
      <c r="B51" s="20"/>
      <c r="C51" s="21" t="s">
        <v>56</v>
      </c>
      <c r="D51" s="33">
        <v>988.9</v>
      </c>
      <c r="E51" s="33">
        <v>1105.5999999999999</v>
      </c>
      <c r="F51" s="33">
        <f t="shared" si="11"/>
        <v>2094.5</v>
      </c>
      <c r="G51" s="33">
        <v>585.29999999999995</v>
      </c>
      <c r="H51" s="33">
        <v>233.86399</v>
      </c>
      <c r="I51" s="33">
        <f t="shared" si="10"/>
        <v>1509.2</v>
      </c>
    </row>
    <row r="52" spans="2:16" x14ac:dyDescent="0.2">
      <c r="B52" s="20"/>
      <c r="C52" s="21" t="s">
        <v>57</v>
      </c>
      <c r="D52" s="33">
        <v>-31.5</v>
      </c>
      <c r="E52" s="33">
        <v>811.26</v>
      </c>
      <c r="F52" s="33">
        <f t="shared" si="11"/>
        <v>779.76</v>
      </c>
      <c r="G52" s="33">
        <v>559.6</v>
      </c>
      <c r="H52" s="33">
        <v>0</v>
      </c>
      <c r="I52" s="33">
        <f t="shared" si="10"/>
        <v>220.15999999999997</v>
      </c>
    </row>
    <row r="53" spans="2:16" x14ac:dyDescent="0.2">
      <c r="B53" s="20"/>
      <c r="C53" s="21" t="s">
        <v>58</v>
      </c>
      <c r="D53" s="33">
        <v>8359.4</v>
      </c>
      <c r="E53" s="33">
        <f>87799.2-E130</f>
        <v>87799.2</v>
      </c>
      <c r="F53" s="33">
        <f t="shared" si="11"/>
        <v>96158.599999999991</v>
      </c>
      <c r="G53" s="33">
        <v>94978.3</v>
      </c>
      <c r="H53" s="33">
        <v>0</v>
      </c>
      <c r="I53" s="33">
        <f t="shared" si="10"/>
        <v>1180.2999999999884</v>
      </c>
    </row>
    <row r="54" spans="2:16" x14ac:dyDescent="0.2">
      <c r="B54" s="20"/>
      <c r="C54" s="21" t="s">
        <v>59</v>
      </c>
      <c r="D54" s="33">
        <v>0</v>
      </c>
      <c r="E54" s="33">
        <v>0</v>
      </c>
      <c r="F54" s="33">
        <f t="shared" si="11"/>
        <v>0</v>
      </c>
      <c r="G54" s="33">
        <v>0</v>
      </c>
      <c r="H54" s="33"/>
      <c r="I54" s="33">
        <f t="shared" si="10"/>
        <v>0</v>
      </c>
    </row>
    <row r="55" spans="2:16" x14ac:dyDescent="0.2">
      <c r="B55" s="20"/>
      <c r="C55" s="21" t="s">
        <v>60</v>
      </c>
      <c r="D55" s="33">
        <v>12966</v>
      </c>
      <c r="E55" s="33">
        <v>-4780.5</v>
      </c>
      <c r="F55" s="33">
        <f>+D55+E55</f>
        <v>8185.5</v>
      </c>
      <c r="G55" s="33">
        <v>2743.1203999999998</v>
      </c>
      <c r="H55" s="33">
        <v>152.46299999999999</v>
      </c>
      <c r="I55" s="33">
        <f t="shared" si="10"/>
        <v>5442.3796000000002</v>
      </c>
    </row>
    <row r="56" spans="2:16" x14ac:dyDescent="0.2">
      <c r="B56" s="20"/>
      <c r="C56" s="21" t="s">
        <v>61</v>
      </c>
      <c r="D56" s="33">
        <v>0</v>
      </c>
      <c r="E56" s="33">
        <v>0</v>
      </c>
      <c r="F56" s="33">
        <f t="shared" si="11"/>
        <v>0</v>
      </c>
      <c r="G56" s="33">
        <v>0</v>
      </c>
      <c r="H56" s="33">
        <v>0</v>
      </c>
      <c r="I56" s="33">
        <f t="shared" si="10"/>
        <v>0</v>
      </c>
    </row>
    <row r="57" spans="2:16" x14ac:dyDescent="0.2">
      <c r="B57" s="20"/>
      <c r="C57" s="21" t="s">
        <v>62</v>
      </c>
      <c r="D57" s="33">
        <v>1194</v>
      </c>
      <c r="E57" s="33">
        <v>0</v>
      </c>
      <c r="F57" s="33">
        <f t="shared" si="11"/>
        <v>1194</v>
      </c>
      <c r="G57" s="33">
        <v>0</v>
      </c>
      <c r="H57" s="33">
        <v>0</v>
      </c>
      <c r="I57" s="33">
        <f t="shared" si="10"/>
        <v>1194</v>
      </c>
    </row>
    <row r="58" spans="2:16" x14ac:dyDescent="0.2">
      <c r="B58" s="20"/>
      <c r="C58" s="21" t="s">
        <v>63</v>
      </c>
      <c r="D58" s="33">
        <v>6.7</v>
      </c>
      <c r="E58" s="33">
        <f>4484.9-E135</f>
        <v>4484.8999999999996</v>
      </c>
      <c r="F58" s="33">
        <f t="shared" si="11"/>
        <v>4491.5999999999995</v>
      </c>
      <c r="G58" s="33">
        <v>142.30179000000001</v>
      </c>
      <c r="H58" s="33">
        <v>0</v>
      </c>
      <c r="I58" s="33">
        <f t="shared" si="10"/>
        <v>4349.298209999999</v>
      </c>
      <c r="K58" s="34"/>
      <c r="L58" s="34"/>
      <c r="M58" s="34"/>
      <c r="N58" s="34"/>
      <c r="O58" s="34"/>
      <c r="P58" s="34"/>
    </row>
    <row r="59" spans="2:16" x14ac:dyDescent="0.2">
      <c r="B59" s="18" t="s">
        <v>64</v>
      </c>
      <c r="C59" s="19"/>
      <c r="D59" s="31">
        <f t="shared" ref="D59:I59" si="12">SUM(D60:D62)</f>
        <v>18939942.599999998</v>
      </c>
      <c r="E59" s="31">
        <f t="shared" si="12"/>
        <v>6990737.9000000004</v>
      </c>
      <c r="F59" s="31">
        <f t="shared" si="12"/>
        <v>25930680.5</v>
      </c>
      <c r="G59" s="31">
        <f t="shared" si="12"/>
        <v>25930680.496510003</v>
      </c>
      <c r="H59" s="31">
        <f t="shared" si="12"/>
        <v>23393068.496650003</v>
      </c>
      <c r="I59" s="31">
        <f t="shared" si="12"/>
        <v>3.4899972379207611E-3</v>
      </c>
      <c r="K59" s="28"/>
    </row>
    <row r="60" spans="2:16" x14ac:dyDescent="0.2">
      <c r="B60" s="20"/>
      <c r="C60" s="21" t="s">
        <v>65</v>
      </c>
      <c r="D60" s="33">
        <v>16981396.699999999</v>
      </c>
      <c r="E60" s="33">
        <f>5731140.8-E137</f>
        <v>5503009</v>
      </c>
      <c r="F60" s="33">
        <f>+D60+E60</f>
        <v>22484405.699999999</v>
      </c>
      <c r="G60" s="33">
        <f>26463571.46651-G137</f>
        <v>22484405.696510002</v>
      </c>
      <c r="H60" s="33">
        <f>24069526.51175-H137</f>
        <v>20090360.741750002</v>
      </c>
      <c r="I60" s="33">
        <f>+F60-G60</f>
        <v>3.4899972379207611E-3</v>
      </c>
    </row>
    <row r="61" spans="2:16" x14ac:dyDescent="0.2">
      <c r="B61" s="20"/>
      <c r="C61" s="21" t="s">
        <v>66</v>
      </c>
      <c r="D61" s="33">
        <v>40000</v>
      </c>
      <c r="E61" s="33">
        <f>4464.9-E138</f>
        <v>-11542</v>
      </c>
      <c r="F61" s="33">
        <f>+D61+E61</f>
        <v>28458</v>
      </c>
      <c r="G61" s="33">
        <f>44464.9-G138</f>
        <v>28458</v>
      </c>
      <c r="H61" s="33">
        <f>42669.10727-H138</f>
        <v>26662.207269999999</v>
      </c>
      <c r="I61" s="33">
        <f>+F61-G61</f>
        <v>0</v>
      </c>
    </row>
    <row r="62" spans="2:16" x14ac:dyDescent="0.2">
      <c r="B62" s="20"/>
      <c r="C62" s="21" t="s">
        <v>67</v>
      </c>
      <c r="D62" s="33">
        <v>1918545.9</v>
      </c>
      <c r="E62" s="33">
        <v>1499270.9</v>
      </c>
      <c r="F62" s="33">
        <f>+D62+E62</f>
        <v>3417816.8</v>
      </c>
      <c r="G62" s="33">
        <v>3417816.8</v>
      </c>
      <c r="H62" s="33">
        <v>3276045.5476299999</v>
      </c>
      <c r="I62" s="33">
        <f>+F62-G62</f>
        <v>0</v>
      </c>
    </row>
    <row r="63" spans="2:16" x14ac:dyDescent="0.2">
      <c r="B63" s="18" t="s">
        <v>68</v>
      </c>
      <c r="C63" s="19"/>
      <c r="D63" s="31">
        <f t="shared" ref="D63:I63" si="13">SUM(D64:D71)</f>
        <v>2112371.6</v>
      </c>
      <c r="E63" s="31">
        <f t="shared" si="13"/>
        <v>848269.7</v>
      </c>
      <c r="F63" s="31">
        <f t="shared" si="13"/>
        <v>2960641.3</v>
      </c>
      <c r="G63" s="31">
        <f t="shared" si="13"/>
        <v>2960641.3</v>
      </c>
      <c r="H63" s="31">
        <f t="shared" si="13"/>
        <v>2960641.2684800001</v>
      </c>
      <c r="I63" s="31">
        <f t="shared" si="13"/>
        <v>0</v>
      </c>
    </row>
    <row r="64" spans="2:16" x14ac:dyDescent="0.2">
      <c r="B64" s="20"/>
      <c r="C64" s="21" t="s">
        <v>69</v>
      </c>
      <c r="D64" s="33">
        <v>0</v>
      </c>
      <c r="E64" s="33">
        <v>0</v>
      </c>
      <c r="F64" s="33">
        <f t="shared" ref="F64:F71" si="14">+D64+E64</f>
        <v>0</v>
      </c>
      <c r="G64" s="33">
        <v>0</v>
      </c>
      <c r="H64" s="33">
        <v>0</v>
      </c>
      <c r="I64" s="33">
        <f t="shared" ref="I64:I71" si="15">+F64-G64</f>
        <v>0</v>
      </c>
    </row>
    <row r="65" spans="2:13" x14ac:dyDescent="0.2">
      <c r="B65" s="20"/>
      <c r="C65" s="21" t="s">
        <v>70</v>
      </c>
      <c r="D65" s="33">
        <v>0</v>
      </c>
      <c r="E65" s="33">
        <v>0</v>
      </c>
      <c r="F65" s="33">
        <f t="shared" si="14"/>
        <v>0</v>
      </c>
      <c r="G65" s="33">
        <v>0</v>
      </c>
      <c r="H65" s="33">
        <v>0</v>
      </c>
      <c r="I65" s="33">
        <f t="shared" si="15"/>
        <v>0</v>
      </c>
    </row>
    <row r="66" spans="2:13" x14ac:dyDescent="0.2">
      <c r="B66" s="20"/>
      <c r="C66" s="21" t="s">
        <v>71</v>
      </c>
      <c r="D66" s="33">
        <v>0</v>
      </c>
      <c r="E66" s="33">
        <v>0</v>
      </c>
      <c r="F66" s="33">
        <f t="shared" si="14"/>
        <v>0</v>
      </c>
      <c r="G66" s="33">
        <v>0</v>
      </c>
      <c r="H66" s="33">
        <v>0</v>
      </c>
      <c r="I66" s="33">
        <f t="shared" si="15"/>
        <v>0</v>
      </c>
    </row>
    <row r="67" spans="2:13" x14ac:dyDescent="0.2">
      <c r="B67" s="20"/>
      <c r="C67" s="21" t="s">
        <v>72</v>
      </c>
      <c r="D67" s="33">
        <v>0</v>
      </c>
      <c r="E67" s="33">
        <v>0</v>
      </c>
      <c r="F67" s="33">
        <f t="shared" si="14"/>
        <v>0</v>
      </c>
      <c r="G67" s="33">
        <v>0</v>
      </c>
      <c r="H67" s="33">
        <v>0</v>
      </c>
      <c r="I67" s="33">
        <f t="shared" si="15"/>
        <v>0</v>
      </c>
    </row>
    <row r="68" spans="2:13" x14ac:dyDescent="0.2">
      <c r="B68" s="20"/>
      <c r="C68" s="21" t="s">
        <v>73</v>
      </c>
      <c r="D68" s="33">
        <v>2112371.6</v>
      </c>
      <c r="E68" s="33">
        <v>848269.7</v>
      </c>
      <c r="F68" s="33">
        <f t="shared" si="14"/>
        <v>2960641.3</v>
      </c>
      <c r="G68" s="33">
        <v>2960641.3</v>
      </c>
      <c r="H68" s="33">
        <v>2960641.2684800001</v>
      </c>
      <c r="I68" s="33">
        <f t="shared" si="15"/>
        <v>0</v>
      </c>
    </row>
    <row r="69" spans="2:13" x14ac:dyDescent="0.2">
      <c r="B69" s="20"/>
      <c r="C69" s="21" t="s">
        <v>74</v>
      </c>
      <c r="D69" s="33">
        <v>0</v>
      </c>
      <c r="E69" s="33">
        <v>0</v>
      </c>
      <c r="F69" s="33">
        <f t="shared" si="14"/>
        <v>0</v>
      </c>
      <c r="G69" s="33">
        <v>0</v>
      </c>
      <c r="H69" s="33">
        <v>0</v>
      </c>
      <c r="I69" s="33">
        <f t="shared" si="15"/>
        <v>0</v>
      </c>
    </row>
    <row r="70" spans="2:13" x14ac:dyDescent="0.2">
      <c r="B70" s="20"/>
      <c r="C70" s="21" t="s">
        <v>75</v>
      </c>
      <c r="D70" s="33">
        <v>0</v>
      </c>
      <c r="E70" s="33">
        <v>0</v>
      </c>
      <c r="F70" s="33">
        <f t="shared" si="14"/>
        <v>0</v>
      </c>
      <c r="G70" s="33">
        <v>0</v>
      </c>
      <c r="H70" s="33">
        <v>0</v>
      </c>
      <c r="I70" s="33">
        <f t="shared" si="15"/>
        <v>0</v>
      </c>
    </row>
    <row r="71" spans="2:13" x14ac:dyDescent="0.2">
      <c r="B71" s="20"/>
      <c r="C71" s="21" t="s">
        <v>76</v>
      </c>
      <c r="D71" s="33">
        <v>0</v>
      </c>
      <c r="E71" s="33">
        <v>0</v>
      </c>
      <c r="F71" s="33">
        <f t="shared" si="14"/>
        <v>0</v>
      </c>
      <c r="G71" s="33">
        <v>0</v>
      </c>
      <c r="H71" s="33">
        <v>0</v>
      </c>
      <c r="I71" s="33">
        <f t="shared" si="15"/>
        <v>0</v>
      </c>
    </row>
    <row r="72" spans="2:13" x14ac:dyDescent="0.2">
      <c r="B72" s="18" t="s">
        <v>77</v>
      </c>
      <c r="C72" s="19"/>
      <c r="D72" s="31">
        <f t="shared" ref="D72:I72" si="16">SUM(D73:D75)</f>
        <v>28708713.600000001</v>
      </c>
      <c r="E72" s="31">
        <f t="shared" si="16"/>
        <v>48124.700000000004</v>
      </c>
      <c r="F72" s="31">
        <f t="shared" si="16"/>
        <v>28756838.300000001</v>
      </c>
      <c r="G72" s="31">
        <f t="shared" si="16"/>
        <v>28461096.099979997</v>
      </c>
      <c r="H72" s="31">
        <f t="shared" si="16"/>
        <v>28461096.099979997</v>
      </c>
      <c r="I72" s="31">
        <f t="shared" si="16"/>
        <v>295742.17502000183</v>
      </c>
    </row>
    <row r="73" spans="2:13" x14ac:dyDescent="0.2">
      <c r="B73" s="20"/>
      <c r="C73" s="21" t="s">
        <v>78</v>
      </c>
      <c r="D73" s="33">
        <v>28708713.600000001</v>
      </c>
      <c r="E73" s="33">
        <f>-32952.7-E150</f>
        <v>48019.3</v>
      </c>
      <c r="F73" s="33">
        <f>+D73+E73</f>
        <v>28756732.900000002</v>
      </c>
      <c r="G73" s="33">
        <v>28460990.72498</v>
      </c>
      <c r="H73" s="33">
        <v>28460990.72498</v>
      </c>
      <c r="I73" s="33">
        <f>+F73-G73</f>
        <v>295742.17502000183</v>
      </c>
      <c r="K73" s="28"/>
    </row>
    <row r="74" spans="2:13" s="36" customFormat="1" x14ac:dyDescent="0.2">
      <c r="B74" s="20"/>
      <c r="C74" s="21" t="s">
        <v>79</v>
      </c>
      <c r="D74" s="33">
        <v>0</v>
      </c>
      <c r="E74" s="33">
        <v>0</v>
      </c>
      <c r="F74" s="33">
        <f>+D74+E74</f>
        <v>0</v>
      </c>
      <c r="G74" s="33">
        <f>17156154.775-G151</f>
        <v>-2.5000002235174179E-2</v>
      </c>
      <c r="H74" s="33">
        <f>17156154.775-H151</f>
        <v>-2.5000002235174179E-2</v>
      </c>
      <c r="I74" s="33">
        <v>0</v>
      </c>
      <c r="J74" s="35"/>
    </row>
    <row r="75" spans="2:13" x14ac:dyDescent="0.2">
      <c r="B75" s="20"/>
      <c r="C75" s="21" t="s">
        <v>80</v>
      </c>
      <c r="D75" s="33">
        <v>0</v>
      </c>
      <c r="E75" s="33">
        <v>105.4</v>
      </c>
      <c r="F75" s="33">
        <f>+D75+E75</f>
        <v>105.4</v>
      </c>
      <c r="G75" s="33">
        <v>105.4</v>
      </c>
      <c r="H75" s="33">
        <v>105.4</v>
      </c>
      <c r="I75" s="33">
        <f>+F75-G75</f>
        <v>0</v>
      </c>
      <c r="K75" s="28"/>
    </row>
    <row r="76" spans="2:13" ht="15" x14ac:dyDescent="0.25">
      <c r="B76" s="18" t="s">
        <v>81</v>
      </c>
      <c r="C76" s="19"/>
      <c r="D76" s="31">
        <f t="shared" ref="D76:I76" si="17">SUM(D77:D83)</f>
        <v>10272569</v>
      </c>
      <c r="E76" s="31">
        <f t="shared" si="17"/>
        <v>1442114.5</v>
      </c>
      <c r="F76" s="31">
        <f t="shared" si="17"/>
        <v>11714683.5</v>
      </c>
      <c r="G76" s="31">
        <f t="shared" si="17"/>
        <v>11714683.470569998</v>
      </c>
      <c r="H76" s="31">
        <f t="shared" si="17"/>
        <v>11714683.557469999</v>
      </c>
      <c r="I76" s="31">
        <f t="shared" si="17"/>
        <v>2.9430000620777719E-2</v>
      </c>
      <c r="K76" s="37"/>
      <c r="L76" s="37"/>
      <c r="M76" s="37"/>
    </row>
    <row r="77" spans="2:13" x14ac:dyDescent="0.2">
      <c r="B77" s="20"/>
      <c r="C77" s="21" t="s">
        <v>82</v>
      </c>
      <c r="D77" s="33">
        <v>2972817.9</v>
      </c>
      <c r="E77" s="33">
        <v>-1291376.2</v>
      </c>
      <c r="F77" s="33">
        <f t="shared" ref="F77:F82" si="18">+D77+E77</f>
        <v>1681441.7</v>
      </c>
      <c r="G77" s="33">
        <v>1681441.6841500001</v>
      </c>
      <c r="H77" s="33">
        <v>1681441.6841500001</v>
      </c>
      <c r="I77" s="33">
        <f t="shared" ref="I77:I83" si="19">+F77-G77</f>
        <v>1.5849999850615859E-2</v>
      </c>
      <c r="K77" s="34"/>
      <c r="L77" s="34"/>
      <c r="M77" s="34"/>
    </row>
    <row r="78" spans="2:13" x14ac:dyDescent="0.2">
      <c r="B78" s="20"/>
      <c r="C78" s="21" t="s">
        <v>83</v>
      </c>
      <c r="D78" s="33">
        <v>2928678.3</v>
      </c>
      <c r="E78" s="33">
        <f>-523822.8-E155</f>
        <v>-795706.5</v>
      </c>
      <c r="F78" s="33">
        <f t="shared" si="18"/>
        <v>2132971.7999999998</v>
      </c>
      <c r="G78" s="33">
        <f>2404855.46122-G155</f>
        <v>2132971.7612199998</v>
      </c>
      <c r="H78" s="33">
        <f>2404855.46122-H155</f>
        <v>2132971.7612199998</v>
      </c>
      <c r="I78" s="33">
        <f t="shared" si="19"/>
        <v>3.8780000060796738E-2</v>
      </c>
      <c r="K78" s="34"/>
      <c r="L78" s="34"/>
      <c r="M78" s="34"/>
    </row>
    <row r="79" spans="2:13" x14ac:dyDescent="0.2">
      <c r="B79" s="20"/>
      <c r="C79" s="21" t="s">
        <v>84</v>
      </c>
      <c r="D79" s="33">
        <v>201787.1</v>
      </c>
      <c r="E79" s="33">
        <v>-119942</v>
      </c>
      <c r="F79" s="33">
        <f t="shared" si="18"/>
        <v>81845.100000000006</v>
      </c>
      <c r="G79" s="33">
        <v>81845.123030000002</v>
      </c>
      <c r="H79" s="33">
        <v>81845.123030000002</v>
      </c>
      <c r="I79" s="33">
        <f t="shared" si="19"/>
        <v>-2.3029999996651895E-2</v>
      </c>
      <c r="K79" s="34"/>
      <c r="L79" s="34"/>
      <c r="M79" s="34"/>
    </row>
    <row r="80" spans="2:13" x14ac:dyDescent="0.2">
      <c r="B80" s="20"/>
      <c r="C80" s="21" t="s">
        <v>85</v>
      </c>
      <c r="D80" s="33">
        <v>256064.9</v>
      </c>
      <c r="E80" s="33">
        <v>-256064.9</v>
      </c>
      <c r="F80" s="33">
        <f t="shared" si="18"/>
        <v>0</v>
      </c>
      <c r="G80" s="33">
        <v>0</v>
      </c>
      <c r="H80" s="33">
        <v>0</v>
      </c>
      <c r="I80" s="33">
        <f t="shared" si="19"/>
        <v>0</v>
      </c>
      <c r="K80" s="34"/>
      <c r="L80" s="34"/>
      <c r="M80" s="34"/>
    </row>
    <row r="81" spans="2:14" x14ac:dyDescent="0.2">
      <c r="B81" s="20"/>
      <c r="C81" s="21" t="s">
        <v>86</v>
      </c>
      <c r="D81" s="33">
        <v>669529.80000000005</v>
      </c>
      <c r="E81" s="33">
        <v>181282.2</v>
      </c>
      <c r="F81" s="33">
        <f>+D81+E81</f>
        <v>850812</v>
      </c>
      <c r="G81" s="33">
        <v>850812</v>
      </c>
      <c r="H81" s="33">
        <v>850812.08689999999</v>
      </c>
      <c r="I81" s="33">
        <f t="shared" si="19"/>
        <v>0</v>
      </c>
      <c r="K81" s="34"/>
      <c r="L81" s="34"/>
      <c r="M81" s="34"/>
    </row>
    <row r="82" spans="2:14" x14ac:dyDescent="0.2">
      <c r="B82" s="20"/>
      <c r="C82" s="21" t="s">
        <v>87</v>
      </c>
      <c r="D82" s="33">
        <v>0</v>
      </c>
      <c r="E82" s="33">
        <v>0</v>
      </c>
      <c r="F82" s="33">
        <f t="shared" si="18"/>
        <v>0</v>
      </c>
      <c r="G82" s="33">
        <v>0</v>
      </c>
      <c r="H82" s="33">
        <v>0</v>
      </c>
      <c r="I82" s="33">
        <f t="shared" si="19"/>
        <v>0</v>
      </c>
      <c r="K82" s="34"/>
      <c r="L82" s="34"/>
      <c r="M82" s="34"/>
    </row>
    <row r="83" spans="2:14" x14ac:dyDescent="0.2">
      <c r="B83" s="20"/>
      <c r="C83" s="21" t="s">
        <v>88</v>
      </c>
      <c r="D83" s="33">
        <v>3243691</v>
      </c>
      <c r="E83" s="33">
        <v>3723921.9</v>
      </c>
      <c r="F83" s="33">
        <f>+D83+E83</f>
        <v>6967612.9000000004</v>
      </c>
      <c r="G83" s="33">
        <v>6967612.9021699997</v>
      </c>
      <c r="H83" s="33">
        <v>6967612.9021699997</v>
      </c>
      <c r="I83" s="33">
        <f t="shared" si="19"/>
        <v>-2.1699992939829826E-3</v>
      </c>
      <c r="K83" s="34"/>
      <c r="L83" s="34"/>
      <c r="M83" s="34"/>
    </row>
    <row r="84" spans="2:14" x14ac:dyDescent="0.2">
      <c r="B84" s="22"/>
      <c r="C84" s="23"/>
      <c r="D84" s="38"/>
      <c r="E84" s="38"/>
      <c r="F84" s="38"/>
      <c r="G84" s="38"/>
      <c r="H84" s="38"/>
      <c r="I84" s="38"/>
    </row>
    <row r="85" spans="2:14" x14ac:dyDescent="0.2">
      <c r="B85" s="24"/>
      <c r="C85" s="24"/>
      <c r="D85" s="32"/>
      <c r="E85" s="32"/>
      <c r="F85" s="32"/>
      <c r="G85" s="32"/>
      <c r="H85" s="32"/>
      <c r="I85" s="32"/>
    </row>
    <row r="86" spans="2:14" x14ac:dyDescent="0.2">
      <c r="B86" s="25"/>
      <c r="C86" s="26"/>
      <c r="D86" s="39"/>
      <c r="E86" s="39"/>
      <c r="F86" s="39"/>
      <c r="G86" s="39"/>
      <c r="H86" s="39"/>
      <c r="I86" s="39"/>
    </row>
    <row r="87" spans="2:14" x14ac:dyDescent="0.2">
      <c r="B87" s="18" t="s">
        <v>89</v>
      </c>
      <c r="C87" s="19"/>
      <c r="D87" s="31">
        <f t="shared" ref="D87:I87" si="20">+D88+D96+D106+D116+D126+D136+D140+D149+D153</f>
        <v>86641880.099999994</v>
      </c>
      <c r="E87" s="31">
        <f t="shared" si="20"/>
        <v>10334897.1</v>
      </c>
      <c r="F87" s="31">
        <f t="shared" si="20"/>
        <v>96976777.200000003</v>
      </c>
      <c r="G87" s="31">
        <f t="shared" si="20"/>
        <v>96976777.170000002</v>
      </c>
      <c r="H87" s="31">
        <f t="shared" si="20"/>
        <v>96976777.170000002</v>
      </c>
      <c r="I87" s="31">
        <f t="shared" si="20"/>
        <v>2.9999999795109034E-2</v>
      </c>
      <c r="K87" s="28"/>
    </row>
    <row r="88" spans="2:14" x14ac:dyDescent="0.2">
      <c r="B88" s="18" t="s">
        <v>16</v>
      </c>
      <c r="C88" s="19"/>
      <c r="D88" s="31">
        <f t="shared" ref="D88:I88" si="21">SUM(D89:D95)</f>
        <v>10715417.699999999</v>
      </c>
      <c r="E88" s="31">
        <f t="shared" si="21"/>
        <v>5040380.3</v>
      </c>
      <c r="F88" s="31">
        <f t="shared" si="21"/>
        <v>15755797.999999998</v>
      </c>
      <c r="G88" s="31">
        <f t="shared" si="21"/>
        <v>15755798</v>
      </c>
      <c r="H88" s="31">
        <f t="shared" si="21"/>
        <v>15755798</v>
      </c>
      <c r="I88" s="31">
        <f t="shared" si="21"/>
        <v>0</v>
      </c>
      <c r="K88" s="28"/>
    </row>
    <row r="89" spans="2:14" x14ac:dyDescent="0.2">
      <c r="B89" s="20"/>
      <c r="C89" s="21" t="s">
        <v>17</v>
      </c>
      <c r="D89" s="33">
        <v>7400593.0999999996</v>
      </c>
      <c r="E89" s="33">
        <v>692827.7</v>
      </c>
      <c r="F89" s="33">
        <f t="shared" ref="F89:F95" si="22">+D89+E89</f>
        <v>8093420.7999999998</v>
      </c>
      <c r="G89" s="33">
        <v>8093420.7999999998</v>
      </c>
      <c r="H89" s="33">
        <f>+G89</f>
        <v>8093420.7999999998</v>
      </c>
      <c r="I89" s="33">
        <f t="shared" ref="I89:I95" si="23">+F89-G89</f>
        <v>0</v>
      </c>
      <c r="K89" s="28"/>
      <c r="L89" s="28"/>
      <c r="M89" s="34"/>
      <c r="N89" s="34"/>
    </row>
    <row r="90" spans="2:14" x14ac:dyDescent="0.2">
      <c r="B90" s="20"/>
      <c r="C90" s="21" t="s">
        <v>18</v>
      </c>
      <c r="D90" s="33">
        <v>0</v>
      </c>
      <c r="E90" s="33">
        <v>0</v>
      </c>
      <c r="F90" s="33">
        <f t="shared" si="22"/>
        <v>0</v>
      </c>
      <c r="G90" s="33">
        <v>0</v>
      </c>
      <c r="H90" s="33">
        <f>+G90</f>
        <v>0</v>
      </c>
      <c r="I90" s="33">
        <f t="shared" si="23"/>
        <v>0</v>
      </c>
      <c r="K90" s="40"/>
      <c r="M90" s="34"/>
      <c r="N90" s="34"/>
    </row>
    <row r="91" spans="2:14" x14ac:dyDescent="0.2">
      <c r="B91" s="20"/>
      <c r="C91" s="21" t="s">
        <v>19</v>
      </c>
      <c r="D91" s="33">
        <v>1598319.1</v>
      </c>
      <c r="E91" s="33">
        <v>-386469.2</v>
      </c>
      <c r="F91" s="33">
        <f t="shared" si="22"/>
        <v>1211849.9000000001</v>
      </c>
      <c r="G91" s="33">
        <v>1211849.8999999999</v>
      </c>
      <c r="H91" s="33">
        <f>+G91</f>
        <v>1211849.8999999999</v>
      </c>
      <c r="I91" s="33">
        <f t="shared" si="23"/>
        <v>0</v>
      </c>
      <c r="K91" s="41"/>
      <c r="M91" s="34"/>
      <c r="N91" s="34"/>
    </row>
    <row r="92" spans="2:14" x14ac:dyDescent="0.2">
      <c r="B92" s="20"/>
      <c r="C92" s="21" t="s">
        <v>20</v>
      </c>
      <c r="D92" s="33">
        <v>600565.1</v>
      </c>
      <c r="E92" s="33">
        <v>4246955.3</v>
      </c>
      <c r="F92" s="33">
        <f t="shared" si="22"/>
        <v>4847520.3999999994</v>
      </c>
      <c r="G92" s="33">
        <v>4847520.4000000004</v>
      </c>
      <c r="H92" s="33">
        <f>+G92</f>
        <v>4847520.4000000004</v>
      </c>
      <c r="I92" s="33">
        <f t="shared" si="23"/>
        <v>0</v>
      </c>
      <c r="K92" s="41"/>
      <c r="M92" s="34"/>
      <c r="N92" s="34"/>
    </row>
    <row r="93" spans="2:14" x14ac:dyDescent="0.2">
      <c r="B93" s="20"/>
      <c r="C93" s="21" t="s">
        <v>21</v>
      </c>
      <c r="D93" s="33">
        <v>1115940.3999999999</v>
      </c>
      <c r="E93" s="33">
        <v>487066.5</v>
      </c>
      <c r="F93" s="33">
        <f t="shared" si="22"/>
        <v>1603006.9</v>
      </c>
      <c r="G93" s="33">
        <v>1603006.9</v>
      </c>
      <c r="H93" s="33">
        <f>+G93</f>
        <v>1603006.9</v>
      </c>
      <c r="I93" s="33">
        <f t="shared" si="23"/>
        <v>0</v>
      </c>
      <c r="K93" s="28"/>
      <c r="M93" s="34"/>
      <c r="N93" s="34"/>
    </row>
    <row r="94" spans="2:14" x14ac:dyDescent="0.2">
      <c r="B94" s="20"/>
      <c r="C94" s="21" t="s">
        <v>22</v>
      </c>
      <c r="D94" s="33">
        <v>0</v>
      </c>
      <c r="E94" s="33">
        <v>0</v>
      </c>
      <c r="F94" s="33">
        <f t="shared" si="22"/>
        <v>0</v>
      </c>
      <c r="G94" s="33">
        <v>0</v>
      </c>
      <c r="H94" s="33">
        <v>0</v>
      </c>
      <c r="I94" s="33">
        <f t="shared" si="23"/>
        <v>0</v>
      </c>
      <c r="K94" s="28"/>
      <c r="M94" s="34"/>
      <c r="N94" s="34"/>
    </row>
    <row r="95" spans="2:14" x14ac:dyDescent="0.2">
      <c r="B95" s="20"/>
      <c r="C95" s="21" t="s">
        <v>23</v>
      </c>
      <c r="D95" s="33">
        <v>0</v>
      </c>
      <c r="E95" s="33">
        <v>0</v>
      </c>
      <c r="F95" s="33">
        <f t="shared" si="22"/>
        <v>0</v>
      </c>
      <c r="G95" s="33">
        <v>0</v>
      </c>
      <c r="H95" s="33">
        <f>+G95</f>
        <v>0</v>
      </c>
      <c r="I95" s="33">
        <f t="shared" si="23"/>
        <v>0</v>
      </c>
      <c r="K95" s="28"/>
      <c r="M95" s="34"/>
      <c r="N95" s="34"/>
    </row>
    <row r="96" spans="2:14" x14ac:dyDescent="0.2">
      <c r="B96" s="18" t="s">
        <v>24</v>
      </c>
      <c r="C96" s="19"/>
      <c r="D96" s="31">
        <f t="shared" ref="D96:I96" si="24">SUM(D97:D105)</f>
        <v>299.39999999999998</v>
      </c>
      <c r="E96" s="31">
        <f t="shared" si="24"/>
        <v>-268.20000000000005</v>
      </c>
      <c r="F96" s="31">
        <f t="shared" si="24"/>
        <v>31.199999999999989</v>
      </c>
      <c r="G96" s="31">
        <f t="shared" si="24"/>
        <v>31.2</v>
      </c>
      <c r="H96" s="31">
        <f t="shared" si="24"/>
        <v>31.2</v>
      </c>
      <c r="I96" s="31">
        <f t="shared" si="24"/>
        <v>0</v>
      </c>
      <c r="K96" s="28"/>
      <c r="M96" s="34"/>
      <c r="N96" s="34"/>
    </row>
    <row r="97" spans="2:11" x14ac:dyDescent="0.2">
      <c r="B97" s="20"/>
      <c r="C97" s="21" t="s">
        <v>25</v>
      </c>
      <c r="D97" s="33">
        <v>230</v>
      </c>
      <c r="E97" s="33">
        <v>-211.8</v>
      </c>
      <c r="F97" s="33">
        <f t="shared" ref="F97:F105" si="25">+D97+E97</f>
        <v>18.199999999999989</v>
      </c>
      <c r="G97" s="33">
        <v>18.2</v>
      </c>
      <c r="H97" s="33">
        <f t="shared" ref="H97:H105" si="26">G97</f>
        <v>18.2</v>
      </c>
      <c r="I97" s="33">
        <f t="shared" ref="I97:I105" si="27">+F97-G97</f>
        <v>0</v>
      </c>
      <c r="K97" s="28"/>
    </row>
    <row r="98" spans="2:11" x14ac:dyDescent="0.2">
      <c r="B98" s="20"/>
      <c r="C98" s="21" t="s">
        <v>26</v>
      </c>
      <c r="D98" s="33">
        <v>43</v>
      </c>
      <c r="E98" s="33">
        <v>-43</v>
      </c>
      <c r="F98" s="33">
        <f t="shared" si="25"/>
        <v>0</v>
      </c>
      <c r="G98" s="33">
        <v>0</v>
      </c>
      <c r="H98" s="33">
        <f t="shared" si="26"/>
        <v>0</v>
      </c>
      <c r="I98" s="33">
        <f t="shared" si="27"/>
        <v>0</v>
      </c>
      <c r="K98" s="28"/>
    </row>
    <row r="99" spans="2:11" x14ac:dyDescent="0.2">
      <c r="B99" s="20"/>
      <c r="C99" s="21" t="s">
        <v>27</v>
      </c>
      <c r="D99" s="33">
        <v>0</v>
      </c>
      <c r="E99" s="33">
        <v>0</v>
      </c>
      <c r="F99" s="33">
        <f t="shared" si="25"/>
        <v>0</v>
      </c>
      <c r="G99" s="33">
        <v>0</v>
      </c>
      <c r="H99" s="33">
        <f t="shared" si="26"/>
        <v>0</v>
      </c>
      <c r="I99" s="33">
        <f t="shared" si="27"/>
        <v>0</v>
      </c>
      <c r="K99" s="28"/>
    </row>
    <row r="100" spans="2:11" x14ac:dyDescent="0.2">
      <c r="B100" s="20"/>
      <c r="C100" s="21" t="s">
        <v>28</v>
      </c>
      <c r="D100" s="33">
        <v>0</v>
      </c>
      <c r="E100" s="33">
        <v>0</v>
      </c>
      <c r="F100" s="33">
        <f t="shared" si="25"/>
        <v>0</v>
      </c>
      <c r="G100" s="33">
        <v>0</v>
      </c>
      <c r="H100" s="33">
        <f t="shared" si="26"/>
        <v>0</v>
      </c>
      <c r="I100" s="33">
        <f t="shared" si="27"/>
        <v>0</v>
      </c>
      <c r="K100" s="28"/>
    </row>
    <row r="101" spans="2:11" x14ac:dyDescent="0.2">
      <c r="B101" s="20"/>
      <c r="C101" s="21" t="s">
        <v>29</v>
      </c>
      <c r="D101" s="33">
        <v>-43</v>
      </c>
      <c r="E101" s="33">
        <v>56</v>
      </c>
      <c r="F101" s="33">
        <f t="shared" si="25"/>
        <v>13</v>
      </c>
      <c r="G101" s="33">
        <v>13</v>
      </c>
      <c r="H101" s="33">
        <f t="shared" si="26"/>
        <v>13</v>
      </c>
      <c r="I101" s="33">
        <f t="shared" si="27"/>
        <v>0</v>
      </c>
      <c r="K101" s="28"/>
    </row>
    <row r="102" spans="2:11" x14ac:dyDescent="0.2">
      <c r="B102" s="20"/>
      <c r="C102" s="21" t="s">
        <v>30</v>
      </c>
      <c r="D102" s="33">
        <v>0</v>
      </c>
      <c r="E102" s="33">
        <v>0</v>
      </c>
      <c r="F102" s="33">
        <f t="shared" si="25"/>
        <v>0</v>
      </c>
      <c r="G102" s="33">
        <v>0</v>
      </c>
      <c r="H102" s="33">
        <f t="shared" si="26"/>
        <v>0</v>
      </c>
      <c r="I102" s="33">
        <f t="shared" si="27"/>
        <v>0</v>
      </c>
      <c r="K102" s="28"/>
    </row>
    <row r="103" spans="2:11" x14ac:dyDescent="0.2">
      <c r="B103" s="20"/>
      <c r="C103" s="21" t="s">
        <v>31</v>
      </c>
      <c r="D103" s="33">
        <v>36.4</v>
      </c>
      <c r="E103" s="33">
        <v>-36.4</v>
      </c>
      <c r="F103" s="33">
        <f t="shared" si="25"/>
        <v>0</v>
      </c>
      <c r="G103" s="33">
        <v>0</v>
      </c>
      <c r="H103" s="33">
        <f t="shared" si="26"/>
        <v>0</v>
      </c>
      <c r="I103" s="33">
        <f t="shared" si="27"/>
        <v>0</v>
      </c>
      <c r="K103" s="28"/>
    </row>
    <row r="104" spans="2:11" x14ac:dyDescent="0.2">
      <c r="B104" s="20"/>
      <c r="C104" s="21" t="s">
        <v>32</v>
      </c>
      <c r="D104" s="33">
        <v>0</v>
      </c>
      <c r="E104" s="33">
        <v>0</v>
      </c>
      <c r="F104" s="33">
        <f t="shared" si="25"/>
        <v>0</v>
      </c>
      <c r="G104" s="33">
        <v>0</v>
      </c>
      <c r="H104" s="33">
        <f t="shared" si="26"/>
        <v>0</v>
      </c>
      <c r="I104" s="33">
        <f t="shared" si="27"/>
        <v>0</v>
      </c>
      <c r="K104" s="28"/>
    </row>
    <row r="105" spans="2:11" x14ac:dyDescent="0.2">
      <c r="B105" s="20"/>
      <c r="C105" s="21" t="s">
        <v>33</v>
      </c>
      <c r="D105" s="33">
        <v>33</v>
      </c>
      <c r="E105" s="33">
        <v>-33</v>
      </c>
      <c r="F105" s="33">
        <f t="shared" si="25"/>
        <v>0</v>
      </c>
      <c r="G105" s="33">
        <v>0</v>
      </c>
      <c r="H105" s="33">
        <f t="shared" si="26"/>
        <v>0</v>
      </c>
      <c r="I105" s="33">
        <f t="shared" si="27"/>
        <v>0</v>
      </c>
      <c r="K105" s="28"/>
    </row>
    <row r="106" spans="2:11" x14ac:dyDescent="0.2">
      <c r="B106" s="18" t="s">
        <v>34</v>
      </c>
      <c r="C106" s="19"/>
      <c r="D106" s="31">
        <f t="shared" ref="D106:I106" si="28">SUM(D107:D115)</f>
        <v>6877.7999999999993</v>
      </c>
      <c r="E106" s="31">
        <f t="shared" si="28"/>
        <v>33428.299999999996</v>
      </c>
      <c r="F106" s="31">
        <f t="shared" si="28"/>
        <v>40306.1</v>
      </c>
      <c r="G106" s="31">
        <f t="shared" si="28"/>
        <v>40306.1</v>
      </c>
      <c r="H106" s="31">
        <f t="shared" si="28"/>
        <v>40306.1</v>
      </c>
      <c r="I106" s="31">
        <f t="shared" si="28"/>
        <v>0</v>
      </c>
      <c r="K106" s="28"/>
    </row>
    <row r="107" spans="2:11" x14ac:dyDescent="0.2">
      <c r="B107" s="20"/>
      <c r="C107" s="21" t="s">
        <v>35</v>
      </c>
      <c r="D107" s="33">
        <v>-90</v>
      </c>
      <c r="E107" s="33">
        <v>90</v>
      </c>
      <c r="F107" s="33">
        <f t="shared" ref="F107:F115" si="29">+D107+E107</f>
        <v>0</v>
      </c>
      <c r="G107" s="33">
        <v>0</v>
      </c>
      <c r="H107" s="33">
        <v>0</v>
      </c>
      <c r="I107" s="33">
        <f t="shared" ref="I107:I115" si="30">+F107-G107</f>
        <v>0</v>
      </c>
      <c r="K107" s="28"/>
    </row>
    <row r="108" spans="2:11" x14ac:dyDescent="0.2">
      <c r="B108" s="20"/>
      <c r="C108" s="21" t="s">
        <v>36</v>
      </c>
      <c r="D108" s="33">
        <v>0</v>
      </c>
      <c r="E108" s="33">
        <v>0</v>
      </c>
      <c r="F108" s="33">
        <f t="shared" si="29"/>
        <v>0</v>
      </c>
      <c r="G108" s="33">
        <v>0</v>
      </c>
      <c r="H108" s="33">
        <v>0</v>
      </c>
      <c r="I108" s="33">
        <f t="shared" si="30"/>
        <v>0</v>
      </c>
      <c r="K108" s="28"/>
    </row>
    <row r="109" spans="2:11" x14ac:dyDescent="0.2">
      <c r="B109" s="20"/>
      <c r="C109" s="21" t="s">
        <v>37</v>
      </c>
      <c r="D109" s="33">
        <v>1615.9</v>
      </c>
      <c r="E109" s="33">
        <v>38343.1</v>
      </c>
      <c r="F109" s="33">
        <f t="shared" si="29"/>
        <v>39959</v>
      </c>
      <c r="G109" s="33">
        <v>39959</v>
      </c>
      <c r="H109" s="33">
        <f t="shared" ref="H109:H115" si="31">G109</f>
        <v>39959</v>
      </c>
      <c r="I109" s="33">
        <f t="shared" si="30"/>
        <v>0</v>
      </c>
      <c r="K109" s="28"/>
    </row>
    <row r="110" spans="2:11" x14ac:dyDescent="0.2">
      <c r="B110" s="20"/>
      <c r="C110" s="21" t="s">
        <v>38</v>
      </c>
      <c r="D110" s="33">
        <v>0</v>
      </c>
      <c r="E110" s="33">
        <v>0</v>
      </c>
      <c r="F110" s="33">
        <f t="shared" si="29"/>
        <v>0</v>
      </c>
      <c r="G110" s="33">
        <v>0</v>
      </c>
      <c r="H110" s="33">
        <f t="shared" si="31"/>
        <v>0</v>
      </c>
      <c r="I110" s="33">
        <f t="shared" si="30"/>
        <v>0</v>
      </c>
      <c r="K110" s="28"/>
    </row>
    <row r="111" spans="2:11" x14ac:dyDescent="0.2">
      <c r="B111" s="20"/>
      <c r="C111" s="21" t="s">
        <v>39</v>
      </c>
      <c r="D111" s="33">
        <v>34.1</v>
      </c>
      <c r="E111" s="33">
        <v>-24.1</v>
      </c>
      <c r="F111" s="33">
        <f t="shared" si="29"/>
        <v>10</v>
      </c>
      <c r="G111" s="33">
        <v>10</v>
      </c>
      <c r="H111" s="33">
        <f t="shared" si="31"/>
        <v>10</v>
      </c>
      <c r="I111" s="33">
        <f t="shared" si="30"/>
        <v>0</v>
      </c>
      <c r="K111" s="28"/>
    </row>
    <row r="112" spans="2:11" x14ac:dyDescent="0.2">
      <c r="B112" s="20"/>
      <c r="C112" s="21" t="s">
        <v>40</v>
      </c>
      <c r="D112" s="33">
        <v>-335.4</v>
      </c>
      <c r="E112" s="33">
        <v>335.4</v>
      </c>
      <c r="F112" s="33">
        <f t="shared" si="29"/>
        <v>0</v>
      </c>
      <c r="G112" s="33">
        <v>0</v>
      </c>
      <c r="H112" s="33">
        <f t="shared" si="31"/>
        <v>0</v>
      </c>
      <c r="I112" s="33">
        <f t="shared" si="30"/>
        <v>0</v>
      </c>
      <c r="K112" s="28"/>
    </row>
    <row r="113" spans="2:11" x14ac:dyDescent="0.2">
      <c r="B113" s="20"/>
      <c r="C113" s="21" t="s">
        <v>41</v>
      </c>
      <c r="D113" s="33">
        <v>1302.3</v>
      </c>
      <c r="E113" s="33">
        <v>-1302.3</v>
      </c>
      <c r="F113" s="33">
        <f t="shared" si="29"/>
        <v>0</v>
      </c>
      <c r="G113" s="33">
        <v>0</v>
      </c>
      <c r="H113" s="33">
        <f t="shared" si="31"/>
        <v>0</v>
      </c>
      <c r="I113" s="33">
        <f t="shared" si="30"/>
        <v>0</v>
      </c>
      <c r="K113" s="28"/>
    </row>
    <row r="114" spans="2:11" x14ac:dyDescent="0.2">
      <c r="B114" s="20"/>
      <c r="C114" s="21" t="s">
        <v>42</v>
      </c>
      <c r="D114" s="33">
        <v>4042.9</v>
      </c>
      <c r="E114" s="33">
        <v>-4042.9</v>
      </c>
      <c r="F114" s="33">
        <f t="shared" si="29"/>
        <v>0</v>
      </c>
      <c r="G114" s="33">
        <v>0</v>
      </c>
      <c r="H114" s="33">
        <f t="shared" si="31"/>
        <v>0</v>
      </c>
      <c r="I114" s="33">
        <f t="shared" si="30"/>
        <v>0</v>
      </c>
      <c r="K114" s="28"/>
    </row>
    <row r="115" spans="2:11" x14ac:dyDescent="0.2">
      <c r="B115" s="20"/>
      <c r="C115" s="21" t="s">
        <v>43</v>
      </c>
      <c r="D115" s="33">
        <v>308</v>
      </c>
      <c r="E115" s="33">
        <v>29.1</v>
      </c>
      <c r="F115" s="33">
        <f t="shared" si="29"/>
        <v>337.1</v>
      </c>
      <c r="G115" s="33">
        <v>337.1</v>
      </c>
      <c r="H115" s="33">
        <f t="shared" si="31"/>
        <v>337.1</v>
      </c>
      <c r="I115" s="33">
        <f t="shared" si="30"/>
        <v>0</v>
      </c>
      <c r="K115" s="28"/>
    </row>
    <row r="116" spans="2:11" x14ac:dyDescent="0.2">
      <c r="B116" s="18" t="s">
        <v>44</v>
      </c>
      <c r="C116" s="19"/>
      <c r="D116" s="31">
        <f t="shared" ref="D116:I116" si="32">SUM(D117:D125)</f>
        <v>54948330.299999997</v>
      </c>
      <c r="E116" s="31">
        <f t="shared" si="32"/>
        <v>4793549.4000000004</v>
      </c>
      <c r="F116" s="31">
        <f t="shared" si="32"/>
        <v>59741879.700000003</v>
      </c>
      <c r="G116" s="31">
        <f t="shared" si="32"/>
        <v>59741879.700000003</v>
      </c>
      <c r="H116" s="31">
        <f t="shared" si="32"/>
        <v>59741879.700000003</v>
      </c>
      <c r="I116" s="31">
        <f t="shared" si="32"/>
        <v>0</v>
      </c>
      <c r="K116" s="28"/>
    </row>
    <row r="117" spans="2:11" x14ac:dyDescent="0.2">
      <c r="B117" s="20"/>
      <c r="C117" s="21" t="s">
        <v>45</v>
      </c>
      <c r="D117" s="33">
        <v>0</v>
      </c>
      <c r="E117" s="33">
        <v>2145736.2000000002</v>
      </c>
      <c r="F117" s="33">
        <f t="shared" ref="F117:F135" si="33">+D117+E117</f>
        <v>2145736.2000000002</v>
      </c>
      <c r="G117" s="33">
        <v>2145736.2000000002</v>
      </c>
      <c r="H117" s="33">
        <f t="shared" ref="H117:H122" si="34">+G117</f>
        <v>2145736.2000000002</v>
      </c>
      <c r="I117" s="33">
        <f t="shared" ref="I117:I160" si="35">+F117-G117</f>
        <v>0</v>
      </c>
      <c r="K117" s="28"/>
    </row>
    <row r="118" spans="2:11" x14ac:dyDescent="0.2">
      <c r="B118" s="20"/>
      <c r="C118" s="21" t="s">
        <v>46</v>
      </c>
      <c r="D118" s="33">
        <v>0</v>
      </c>
      <c r="E118" s="33">
        <v>0</v>
      </c>
      <c r="F118" s="33">
        <f t="shared" si="33"/>
        <v>0</v>
      </c>
      <c r="G118" s="33">
        <v>0</v>
      </c>
      <c r="H118" s="33">
        <f t="shared" si="34"/>
        <v>0</v>
      </c>
      <c r="I118" s="33">
        <f t="shared" si="35"/>
        <v>0</v>
      </c>
      <c r="K118" s="28"/>
    </row>
    <row r="119" spans="2:11" x14ac:dyDescent="0.2">
      <c r="B119" s="20"/>
      <c r="C119" s="21" t="s">
        <v>47</v>
      </c>
      <c r="D119" s="33">
        <v>1037.8</v>
      </c>
      <c r="E119" s="33">
        <v>-1037.8</v>
      </c>
      <c r="F119" s="33">
        <f t="shared" si="33"/>
        <v>0</v>
      </c>
      <c r="G119" s="33">
        <v>0</v>
      </c>
      <c r="H119" s="33">
        <f t="shared" si="34"/>
        <v>0</v>
      </c>
      <c r="I119" s="33">
        <f t="shared" si="35"/>
        <v>0</v>
      </c>
      <c r="K119" s="28"/>
    </row>
    <row r="120" spans="2:11" x14ac:dyDescent="0.2">
      <c r="B120" s="20"/>
      <c r="C120" s="21" t="s">
        <v>48</v>
      </c>
      <c r="D120" s="33">
        <v>6778.1</v>
      </c>
      <c r="E120" s="33">
        <v>16308.4</v>
      </c>
      <c r="F120" s="33">
        <f>+D120+E120</f>
        <v>23086.5</v>
      </c>
      <c r="G120" s="33">
        <v>23086.5</v>
      </c>
      <c r="H120" s="33">
        <f t="shared" si="34"/>
        <v>23086.5</v>
      </c>
      <c r="I120" s="33">
        <f t="shared" si="35"/>
        <v>0</v>
      </c>
      <c r="K120" s="28"/>
    </row>
    <row r="121" spans="2:11" x14ac:dyDescent="0.2">
      <c r="B121" s="20"/>
      <c r="C121" s="21" t="s">
        <v>49</v>
      </c>
      <c r="D121" s="33">
        <v>0</v>
      </c>
      <c r="E121" s="33">
        <v>0</v>
      </c>
      <c r="F121" s="33">
        <f t="shared" si="33"/>
        <v>0</v>
      </c>
      <c r="G121" s="33">
        <v>0</v>
      </c>
      <c r="H121" s="33">
        <f t="shared" si="34"/>
        <v>0</v>
      </c>
      <c r="I121" s="33">
        <f t="shared" si="35"/>
        <v>0</v>
      </c>
      <c r="K121" s="28"/>
    </row>
    <row r="122" spans="2:11" x14ac:dyDescent="0.2">
      <c r="B122" s="20"/>
      <c r="C122" s="21" t="s">
        <v>50</v>
      </c>
      <c r="D122" s="33">
        <v>54940514.399999999</v>
      </c>
      <c r="E122" s="33">
        <v>2632542.6</v>
      </c>
      <c r="F122" s="33">
        <f>+D122+E122</f>
        <v>57573057</v>
      </c>
      <c r="G122" s="33">
        <v>57573057</v>
      </c>
      <c r="H122" s="33">
        <f t="shared" si="34"/>
        <v>57573057</v>
      </c>
      <c r="I122" s="33">
        <f t="shared" si="35"/>
        <v>0</v>
      </c>
      <c r="K122" s="28"/>
    </row>
    <row r="123" spans="2:11" x14ac:dyDescent="0.2">
      <c r="B123" s="20"/>
      <c r="C123" s="21" t="s">
        <v>51</v>
      </c>
      <c r="D123" s="33">
        <v>0</v>
      </c>
      <c r="E123" s="33">
        <v>0</v>
      </c>
      <c r="F123" s="33">
        <f t="shared" si="33"/>
        <v>0</v>
      </c>
      <c r="G123" s="33">
        <v>0</v>
      </c>
      <c r="H123" s="33">
        <v>0</v>
      </c>
      <c r="I123" s="33">
        <f t="shared" si="35"/>
        <v>0</v>
      </c>
      <c r="K123" s="28"/>
    </row>
    <row r="124" spans="2:11" x14ac:dyDescent="0.2">
      <c r="B124" s="20"/>
      <c r="C124" s="21" t="s">
        <v>52</v>
      </c>
      <c r="D124" s="33">
        <v>0</v>
      </c>
      <c r="E124" s="33">
        <v>0</v>
      </c>
      <c r="F124" s="33">
        <f t="shared" si="33"/>
        <v>0</v>
      </c>
      <c r="G124" s="33">
        <v>0</v>
      </c>
      <c r="H124" s="33">
        <v>0</v>
      </c>
      <c r="I124" s="33">
        <f t="shared" si="35"/>
        <v>0</v>
      </c>
      <c r="K124" s="28"/>
    </row>
    <row r="125" spans="2:11" x14ac:dyDescent="0.2">
      <c r="B125" s="20"/>
      <c r="C125" s="21" t="s">
        <v>53</v>
      </c>
      <c r="D125" s="33">
        <v>0</v>
      </c>
      <c r="E125" s="33">
        <v>0</v>
      </c>
      <c r="F125" s="33">
        <f t="shared" si="33"/>
        <v>0</v>
      </c>
      <c r="G125" s="33">
        <v>0</v>
      </c>
      <c r="H125" s="33">
        <v>0</v>
      </c>
      <c r="I125" s="33">
        <f t="shared" si="35"/>
        <v>0</v>
      </c>
      <c r="K125" s="28"/>
    </row>
    <row r="126" spans="2:11" x14ac:dyDescent="0.2">
      <c r="B126" s="18" t="s">
        <v>54</v>
      </c>
      <c r="C126" s="19"/>
      <c r="D126" s="31">
        <f>SUM(D127:D135)</f>
        <v>90.5</v>
      </c>
      <c r="E126" s="31">
        <f>SUM(E127:E135)</f>
        <v>-90.5</v>
      </c>
      <c r="F126" s="31">
        <f t="shared" si="33"/>
        <v>0</v>
      </c>
      <c r="G126" s="31">
        <f>SUM(G127:G135)</f>
        <v>0</v>
      </c>
      <c r="H126" s="31">
        <f>SUM(H127:H135)</f>
        <v>0</v>
      </c>
      <c r="I126" s="31">
        <f t="shared" si="35"/>
        <v>0</v>
      </c>
      <c r="K126" s="28"/>
    </row>
    <row r="127" spans="2:11" x14ac:dyDescent="0.2">
      <c r="B127" s="20"/>
      <c r="C127" s="21" t="s">
        <v>55</v>
      </c>
      <c r="D127" s="33">
        <v>90.5</v>
      </c>
      <c r="E127" s="33">
        <v>-90.5</v>
      </c>
      <c r="F127" s="33">
        <f t="shared" si="33"/>
        <v>0</v>
      </c>
      <c r="G127" s="33">
        <v>0</v>
      </c>
      <c r="H127" s="33">
        <v>0</v>
      </c>
      <c r="I127" s="33">
        <f t="shared" si="35"/>
        <v>0</v>
      </c>
      <c r="K127" s="28"/>
    </row>
    <row r="128" spans="2:11" x14ac:dyDescent="0.2">
      <c r="B128" s="20"/>
      <c r="C128" s="21" t="s">
        <v>56</v>
      </c>
      <c r="D128" s="33">
        <v>0</v>
      </c>
      <c r="E128" s="33">
        <v>0</v>
      </c>
      <c r="F128" s="33">
        <f t="shared" si="33"/>
        <v>0</v>
      </c>
      <c r="G128" s="33">
        <v>0</v>
      </c>
      <c r="H128" s="33">
        <v>0</v>
      </c>
      <c r="I128" s="33">
        <f t="shared" si="35"/>
        <v>0</v>
      </c>
      <c r="K128" s="28"/>
    </row>
    <row r="129" spans="2:12" x14ac:dyDescent="0.2">
      <c r="B129" s="20"/>
      <c r="C129" s="21" t="s">
        <v>57</v>
      </c>
      <c r="D129" s="33">
        <v>0</v>
      </c>
      <c r="E129" s="33">
        <v>0</v>
      </c>
      <c r="F129" s="33">
        <f t="shared" si="33"/>
        <v>0</v>
      </c>
      <c r="G129" s="33">
        <v>0</v>
      </c>
      <c r="H129" s="33">
        <v>0</v>
      </c>
      <c r="I129" s="33">
        <f t="shared" si="35"/>
        <v>0</v>
      </c>
      <c r="K129" s="28"/>
    </row>
    <row r="130" spans="2:12" x14ac:dyDescent="0.2">
      <c r="B130" s="20"/>
      <c r="C130" s="21" t="s">
        <v>58</v>
      </c>
      <c r="D130" s="33">
        <v>0</v>
      </c>
      <c r="E130" s="33">
        <v>0</v>
      </c>
      <c r="F130" s="33">
        <f t="shared" si="33"/>
        <v>0</v>
      </c>
      <c r="G130" s="33">
        <v>0</v>
      </c>
      <c r="H130" s="33">
        <v>0</v>
      </c>
      <c r="I130" s="33">
        <f t="shared" si="35"/>
        <v>0</v>
      </c>
      <c r="K130" s="28"/>
    </row>
    <row r="131" spans="2:12" x14ac:dyDescent="0.2">
      <c r="B131" s="20"/>
      <c r="C131" s="21" t="s">
        <v>59</v>
      </c>
      <c r="D131" s="33">
        <v>0</v>
      </c>
      <c r="E131" s="33">
        <v>0</v>
      </c>
      <c r="F131" s="33">
        <f t="shared" si="33"/>
        <v>0</v>
      </c>
      <c r="G131" s="33">
        <v>0</v>
      </c>
      <c r="H131" s="33">
        <v>0</v>
      </c>
      <c r="I131" s="33">
        <f t="shared" si="35"/>
        <v>0</v>
      </c>
      <c r="K131" s="28"/>
    </row>
    <row r="132" spans="2:12" x14ac:dyDescent="0.2">
      <c r="B132" s="20"/>
      <c r="C132" s="21" t="s">
        <v>60</v>
      </c>
      <c r="D132" s="33">
        <v>0</v>
      </c>
      <c r="E132" s="33">
        <v>0</v>
      </c>
      <c r="F132" s="33">
        <f t="shared" si="33"/>
        <v>0</v>
      </c>
      <c r="G132" s="33">
        <v>0</v>
      </c>
      <c r="H132" s="33">
        <v>0</v>
      </c>
      <c r="I132" s="33">
        <f t="shared" si="35"/>
        <v>0</v>
      </c>
      <c r="K132" s="28"/>
    </row>
    <row r="133" spans="2:12" x14ac:dyDescent="0.2">
      <c r="B133" s="20"/>
      <c r="C133" s="21" t="s">
        <v>61</v>
      </c>
      <c r="D133" s="33">
        <v>0</v>
      </c>
      <c r="E133" s="33">
        <v>0</v>
      </c>
      <c r="F133" s="33">
        <f t="shared" si="33"/>
        <v>0</v>
      </c>
      <c r="G133" s="33">
        <v>0</v>
      </c>
      <c r="H133" s="33">
        <v>0</v>
      </c>
      <c r="I133" s="33">
        <f t="shared" si="35"/>
        <v>0</v>
      </c>
      <c r="K133" s="28"/>
      <c r="L133" s="34"/>
    </row>
    <row r="134" spans="2:12" x14ac:dyDescent="0.2">
      <c r="B134" s="20"/>
      <c r="C134" s="21" t="s">
        <v>62</v>
      </c>
      <c r="D134" s="33">
        <v>0</v>
      </c>
      <c r="E134" s="33">
        <v>0</v>
      </c>
      <c r="F134" s="33">
        <f t="shared" si="33"/>
        <v>0</v>
      </c>
      <c r="G134" s="33">
        <v>0</v>
      </c>
      <c r="H134" s="33">
        <v>0</v>
      </c>
      <c r="I134" s="33">
        <f t="shared" si="35"/>
        <v>0</v>
      </c>
      <c r="K134" s="28"/>
      <c r="L134" s="34"/>
    </row>
    <row r="135" spans="2:12" x14ac:dyDescent="0.2">
      <c r="B135" s="20"/>
      <c r="C135" s="21" t="s">
        <v>63</v>
      </c>
      <c r="D135" s="33">
        <v>0</v>
      </c>
      <c r="E135" s="33">
        <v>0</v>
      </c>
      <c r="F135" s="33">
        <f t="shared" si="33"/>
        <v>0</v>
      </c>
      <c r="G135" s="33">
        <v>0</v>
      </c>
      <c r="H135" s="33">
        <v>0</v>
      </c>
      <c r="I135" s="33">
        <f t="shared" si="35"/>
        <v>0</v>
      </c>
      <c r="K135" s="28"/>
      <c r="L135" s="34"/>
    </row>
    <row r="136" spans="2:12" x14ac:dyDescent="0.2">
      <c r="B136" s="18" t="s">
        <v>64</v>
      </c>
      <c r="C136" s="19"/>
      <c r="D136" s="31">
        <f>SUM(D137:D139)</f>
        <v>3751034</v>
      </c>
      <c r="E136" s="31">
        <f>SUM(E137:E139)</f>
        <v>244138.69999999998</v>
      </c>
      <c r="F136" s="31">
        <f>SUM(F137:F139)</f>
        <v>3995172.6999999997</v>
      </c>
      <c r="G136" s="31">
        <f>SUM(G137:G139)</f>
        <v>3995172.67</v>
      </c>
      <c r="H136" s="31">
        <f>SUM(H137:H139)</f>
        <v>3995172.67</v>
      </c>
      <c r="I136" s="31">
        <f t="shared" si="35"/>
        <v>2.9999999795109034E-2</v>
      </c>
      <c r="K136" s="28"/>
      <c r="L136" s="34"/>
    </row>
    <row r="137" spans="2:12" x14ac:dyDescent="0.2">
      <c r="B137" s="20"/>
      <c r="C137" s="21" t="s">
        <v>65</v>
      </c>
      <c r="D137" s="33">
        <v>3751034</v>
      </c>
      <c r="E137" s="33">
        <v>228131.8</v>
      </c>
      <c r="F137" s="33">
        <f>+D137+E137</f>
        <v>3979165.8</v>
      </c>
      <c r="G137" s="33">
        <v>3979165.77</v>
      </c>
      <c r="H137" s="33">
        <f>+G137</f>
        <v>3979165.77</v>
      </c>
      <c r="I137" s="33">
        <f t="shared" si="35"/>
        <v>2.9999999795109034E-2</v>
      </c>
      <c r="K137" s="28"/>
      <c r="L137" s="34"/>
    </row>
    <row r="138" spans="2:12" x14ac:dyDescent="0.2">
      <c r="B138" s="20"/>
      <c r="C138" s="21" t="s">
        <v>66</v>
      </c>
      <c r="D138" s="33">
        <v>0</v>
      </c>
      <c r="E138" s="33">
        <v>16006.9</v>
      </c>
      <c r="F138" s="33">
        <f>+D138+E138</f>
        <v>16006.9</v>
      </c>
      <c r="G138" s="33">
        <v>16006.9</v>
      </c>
      <c r="H138" s="33">
        <f>+G138</f>
        <v>16006.9</v>
      </c>
      <c r="I138" s="33">
        <f t="shared" si="35"/>
        <v>0</v>
      </c>
      <c r="K138" s="28"/>
    </row>
    <row r="139" spans="2:12" x14ac:dyDescent="0.2">
      <c r="B139" s="20"/>
      <c r="C139" s="21" t="s">
        <v>67</v>
      </c>
      <c r="D139" s="33">
        <v>0</v>
      </c>
      <c r="E139" s="33">
        <v>0</v>
      </c>
      <c r="F139" s="33">
        <f>+D139+E139</f>
        <v>0</v>
      </c>
      <c r="G139" s="33">
        <v>0</v>
      </c>
      <c r="H139" s="33">
        <v>0</v>
      </c>
      <c r="I139" s="33">
        <f t="shared" si="35"/>
        <v>0</v>
      </c>
      <c r="K139" s="28"/>
    </row>
    <row r="140" spans="2:12" x14ac:dyDescent="0.2">
      <c r="B140" s="18" t="s">
        <v>68</v>
      </c>
      <c r="C140" s="19"/>
      <c r="D140" s="31">
        <f>SUM(D141:D148)</f>
        <v>0</v>
      </c>
      <c r="E140" s="31">
        <f>SUM(E141:E148)</f>
        <v>0</v>
      </c>
      <c r="F140" s="31">
        <f>SUM(F141:F148)</f>
        <v>0</v>
      </c>
      <c r="G140" s="31">
        <f>SUM(G141:G148)</f>
        <v>0</v>
      </c>
      <c r="H140" s="31">
        <f>SUM(H141:H148)</f>
        <v>0</v>
      </c>
      <c r="I140" s="31">
        <f t="shared" si="35"/>
        <v>0</v>
      </c>
      <c r="K140" s="28"/>
    </row>
    <row r="141" spans="2:12" x14ac:dyDescent="0.2">
      <c r="B141" s="20"/>
      <c r="C141" s="21" t="s">
        <v>69</v>
      </c>
      <c r="D141" s="33">
        <v>0</v>
      </c>
      <c r="E141" s="33">
        <v>0</v>
      </c>
      <c r="F141" s="33">
        <f t="shared" ref="F141:F148" si="36">+D141+E141</f>
        <v>0</v>
      </c>
      <c r="G141" s="33">
        <v>0</v>
      </c>
      <c r="H141" s="33">
        <v>0</v>
      </c>
      <c r="I141" s="33">
        <f t="shared" si="35"/>
        <v>0</v>
      </c>
      <c r="K141" s="28"/>
    </row>
    <row r="142" spans="2:12" x14ac:dyDescent="0.2">
      <c r="B142" s="20"/>
      <c r="C142" s="21" t="s">
        <v>70</v>
      </c>
      <c r="D142" s="33">
        <v>0</v>
      </c>
      <c r="E142" s="33">
        <v>0</v>
      </c>
      <c r="F142" s="33">
        <f t="shared" si="36"/>
        <v>0</v>
      </c>
      <c r="G142" s="33">
        <v>0</v>
      </c>
      <c r="H142" s="33">
        <v>0</v>
      </c>
      <c r="I142" s="33">
        <f t="shared" si="35"/>
        <v>0</v>
      </c>
      <c r="K142" s="28"/>
    </row>
    <row r="143" spans="2:12" x14ac:dyDescent="0.2">
      <c r="B143" s="20"/>
      <c r="C143" s="21" t="s">
        <v>71</v>
      </c>
      <c r="D143" s="33">
        <v>0</v>
      </c>
      <c r="E143" s="33">
        <v>0</v>
      </c>
      <c r="F143" s="33">
        <f t="shared" si="36"/>
        <v>0</v>
      </c>
      <c r="G143" s="33">
        <v>0</v>
      </c>
      <c r="H143" s="33">
        <v>0</v>
      </c>
      <c r="I143" s="33">
        <f t="shared" si="35"/>
        <v>0</v>
      </c>
      <c r="K143" s="28"/>
    </row>
    <row r="144" spans="2:12" x14ac:dyDescent="0.2">
      <c r="B144" s="20"/>
      <c r="C144" s="21" t="s">
        <v>72</v>
      </c>
      <c r="D144" s="33">
        <v>0</v>
      </c>
      <c r="E144" s="33">
        <v>0</v>
      </c>
      <c r="F144" s="33">
        <f t="shared" si="36"/>
        <v>0</v>
      </c>
      <c r="G144" s="33">
        <v>0</v>
      </c>
      <c r="H144" s="33">
        <v>0</v>
      </c>
      <c r="I144" s="33">
        <f t="shared" si="35"/>
        <v>0</v>
      </c>
      <c r="K144" s="28"/>
    </row>
    <row r="145" spans="2:11" x14ac:dyDescent="0.2">
      <c r="B145" s="20"/>
      <c r="C145" s="21" t="s">
        <v>73</v>
      </c>
      <c r="D145" s="33">
        <v>0</v>
      </c>
      <c r="E145" s="33">
        <v>0</v>
      </c>
      <c r="F145" s="33">
        <f t="shared" si="36"/>
        <v>0</v>
      </c>
      <c r="G145" s="33">
        <v>0</v>
      </c>
      <c r="H145" s="33">
        <v>0</v>
      </c>
      <c r="I145" s="33">
        <f t="shared" si="35"/>
        <v>0</v>
      </c>
      <c r="K145" s="28"/>
    </row>
    <row r="146" spans="2:11" x14ac:dyDescent="0.2">
      <c r="B146" s="20"/>
      <c r="C146" s="21" t="s">
        <v>74</v>
      </c>
      <c r="D146" s="33">
        <v>0</v>
      </c>
      <c r="E146" s="33">
        <v>0</v>
      </c>
      <c r="F146" s="33">
        <f t="shared" si="36"/>
        <v>0</v>
      </c>
      <c r="G146" s="33">
        <v>0</v>
      </c>
      <c r="H146" s="33">
        <v>0</v>
      </c>
      <c r="I146" s="33">
        <f t="shared" si="35"/>
        <v>0</v>
      </c>
      <c r="K146" s="28"/>
    </row>
    <row r="147" spans="2:11" x14ac:dyDescent="0.2">
      <c r="B147" s="20"/>
      <c r="C147" s="21" t="s">
        <v>75</v>
      </c>
      <c r="D147" s="33">
        <v>0</v>
      </c>
      <c r="E147" s="33">
        <v>0</v>
      </c>
      <c r="F147" s="33">
        <f t="shared" si="36"/>
        <v>0</v>
      </c>
      <c r="G147" s="33">
        <v>0</v>
      </c>
      <c r="H147" s="33">
        <v>0</v>
      </c>
      <c r="I147" s="33">
        <f t="shared" si="35"/>
        <v>0</v>
      </c>
      <c r="K147" s="28"/>
    </row>
    <row r="148" spans="2:11" x14ac:dyDescent="0.2">
      <c r="B148" s="20"/>
      <c r="C148" s="21" t="s">
        <v>76</v>
      </c>
      <c r="D148" s="33">
        <v>0</v>
      </c>
      <c r="E148" s="33">
        <v>0</v>
      </c>
      <c r="F148" s="33">
        <f t="shared" si="36"/>
        <v>0</v>
      </c>
      <c r="G148" s="33">
        <v>0</v>
      </c>
      <c r="H148" s="33">
        <v>0</v>
      </c>
      <c r="I148" s="33">
        <f t="shared" si="35"/>
        <v>0</v>
      </c>
      <c r="K148" s="28"/>
    </row>
    <row r="149" spans="2:11" x14ac:dyDescent="0.2">
      <c r="B149" s="18" t="s">
        <v>77</v>
      </c>
      <c r="C149" s="19"/>
      <c r="D149" s="31">
        <f>SUM(D150:D152)</f>
        <v>17219830.399999999</v>
      </c>
      <c r="E149" s="31">
        <f>SUM(E150:E152)</f>
        <v>-48124.6</v>
      </c>
      <c r="F149" s="31">
        <f>SUM(F150:F152)</f>
        <v>17171705.799999997</v>
      </c>
      <c r="G149" s="31">
        <f>SUM(G150:G152)</f>
        <v>17171705.800000001</v>
      </c>
      <c r="H149" s="31">
        <f>SUM(H150:H152)</f>
        <v>17171705.800000001</v>
      </c>
      <c r="I149" s="31">
        <f t="shared" si="35"/>
        <v>0</v>
      </c>
      <c r="K149" s="28"/>
    </row>
    <row r="150" spans="2:11" x14ac:dyDescent="0.2">
      <c r="B150" s="20"/>
      <c r="C150" s="21" t="s">
        <v>78</v>
      </c>
      <c r="D150" s="33">
        <v>80972</v>
      </c>
      <c r="E150" s="33">
        <v>-80972</v>
      </c>
      <c r="F150" s="33">
        <f>+D150+E150</f>
        <v>0</v>
      </c>
      <c r="G150" s="33">
        <v>0</v>
      </c>
      <c r="H150" s="33">
        <v>0</v>
      </c>
      <c r="I150" s="33">
        <f t="shared" si="35"/>
        <v>0</v>
      </c>
      <c r="K150" s="28"/>
    </row>
    <row r="151" spans="2:11" s="36" customFormat="1" x14ac:dyDescent="0.2">
      <c r="B151" s="20"/>
      <c r="C151" s="21" t="s">
        <v>79</v>
      </c>
      <c r="D151" s="33">
        <v>17138858.399999999</v>
      </c>
      <c r="E151" s="33">
        <v>17296.400000000001</v>
      </c>
      <c r="F151" s="33">
        <f>+D151+E151</f>
        <v>17156154.799999997</v>
      </c>
      <c r="G151" s="33">
        <v>17156154.800000001</v>
      </c>
      <c r="H151" s="33">
        <v>17156154.800000001</v>
      </c>
      <c r="I151" s="33">
        <f t="shared" si="35"/>
        <v>0</v>
      </c>
      <c r="J151" s="35"/>
      <c r="K151" s="35"/>
    </row>
    <row r="152" spans="2:11" x14ac:dyDescent="0.2">
      <c r="B152" s="20"/>
      <c r="C152" s="21" t="s">
        <v>80</v>
      </c>
      <c r="D152" s="33">
        <v>0</v>
      </c>
      <c r="E152" s="33">
        <f>15656.4-105.4</f>
        <v>15551</v>
      </c>
      <c r="F152" s="33">
        <f>+D152+E152</f>
        <v>15551</v>
      </c>
      <c r="G152" s="33">
        <f>15551</f>
        <v>15551</v>
      </c>
      <c r="H152" s="33">
        <f>+G152</f>
        <v>15551</v>
      </c>
      <c r="I152" s="33">
        <f t="shared" si="35"/>
        <v>0</v>
      </c>
      <c r="K152" s="28"/>
    </row>
    <row r="153" spans="2:11" x14ac:dyDescent="0.2">
      <c r="B153" s="18" t="s">
        <v>81</v>
      </c>
      <c r="C153" s="19"/>
      <c r="D153" s="31">
        <f>SUM(D154:D160)</f>
        <v>0</v>
      </c>
      <c r="E153" s="31">
        <f>SUM(E154:E160)</f>
        <v>271883.7</v>
      </c>
      <c r="F153" s="31">
        <f>SUM(F154:F160)</f>
        <v>271883.7</v>
      </c>
      <c r="G153" s="31">
        <f>SUM(G154:G160)</f>
        <v>271883.7</v>
      </c>
      <c r="H153" s="31">
        <f>SUM(H154:H160)</f>
        <v>271883.7</v>
      </c>
      <c r="I153" s="31">
        <f t="shared" si="35"/>
        <v>0</v>
      </c>
      <c r="K153" s="28"/>
    </row>
    <row r="154" spans="2:11" x14ac:dyDescent="0.2">
      <c r="B154" s="20"/>
      <c r="C154" s="21" t="s">
        <v>82</v>
      </c>
      <c r="D154" s="33">
        <v>0</v>
      </c>
      <c r="E154" s="33">
        <v>0</v>
      </c>
      <c r="F154" s="33">
        <f t="shared" ref="F154:F160" si="37">+D154+E154</f>
        <v>0</v>
      </c>
      <c r="G154" s="33">
        <v>0</v>
      </c>
      <c r="H154" s="33">
        <v>0</v>
      </c>
      <c r="I154" s="33">
        <f t="shared" si="35"/>
        <v>0</v>
      </c>
      <c r="K154" s="28"/>
    </row>
    <row r="155" spans="2:11" x14ac:dyDescent="0.2">
      <c r="B155" s="20"/>
      <c r="C155" s="21" t="s">
        <v>83</v>
      </c>
      <c r="D155" s="33">
        <v>0</v>
      </c>
      <c r="E155" s="33">
        <v>271883.7</v>
      </c>
      <c r="F155" s="33">
        <f t="shared" si="37"/>
        <v>271883.7</v>
      </c>
      <c r="G155" s="33">
        <v>271883.7</v>
      </c>
      <c r="H155" s="33">
        <f>+G155</f>
        <v>271883.7</v>
      </c>
      <c r="I155" s="33">
        <f t="shared" si="35"/>
        <v>0</v>
      </c>
      <c r="K155" s="28"/>
    </row>
    <row r="156" spans="2:11" x14ac:dyDescent="0.2">
      <c r="B156" s="20"/>
      <c r="C156" s="21" t="s">
        <v>84</v>
      </c>
      <c r="D156" s="33">
        <v>0</v>
      </c>
      <c r="E156" s="33">
        <v>0</v>
      </c>
      <c r="F156" s="33">
        <f t="shared" si="37"/>
        <v>0</v>
      </c>
      <c r="G156" s="33">
        <v>0</v>
      </c>
      <c r="H156" s="33">
        <v>0</v>
      </c>
      <c r="I156" s="33">
        <f t="shared" si="35"/>
        <v>0</v>
      </c>
      <c r="K156" s="28"/>
    </row>
    <row r="157" spans="2:11" x14ac:dyDescent="0.2">
      <c r="B157" s="20"/>
      <c r="C157" s="21" t="s">
        <v>85</v>
      </c>
      <c r="D157" s="33">
        <v>0</v>
      </c>
      <c r="E157" s="33">
        <v>0</v>
      </c>
      <c r="F157" s="33">
        <f t="shared" si="37"/>
        <v>0</v>
      </c>
      <c r="G157" s="33">
        <v>0</v>
      </c>
      <c r="H157" s="33">
        <v>0</v>
      </c>
      <c r="I157" s="33">
        <f t="shared" si="35"/>
        <v>0</v>
      </c>
      <c r="K157" s="28"/>
    </row>
    <row r="158" spans="2:11" x14ac:dyDescent="0.2">
      <c r="B158" s="20"/>
      <c r="C158" s="21" t="s">
        <v>86</v>
      </c>
      <c r="D158" s="33">
        <v>0</v>
      </c>
      <c r="E158" s="33">
        <v>0</v>
      </c>
      <c r="F158" s="33">
        <f t="shared" si="37"/>
        <v>0</v>
      </c>
      <c r="G158" s="33">
        <v>0</v>
      </c>
      <c r="H158" s="33">
        <v>0</v>
      </c>
      <c r="I158" s="33">
        <f t="shared" si="35"/>
        <v>0</v>
      </c>
      <c r="K158" s="28"/>
    </row>
    <row r="159" spans="2:11" x14ac:dyDescent="0.2">
      <c r="B159" s="20"/>
      <c r="C159" s="21" t="s">
        <v>87</v>
      </c>
      <c r="D159" s="33">
        <v>0</v>
      </c>
      <c r="E159" s="33">
        <v>0</v>
      </c>
      <c r="F159" s="33">
        <f t="shared" si="37"/>
        <v>0</v>
      </c>
      <c r="G159" s="33">
        <v>0</v>
      </c>
      <c r="H159" s="33">
        <v>0</v>
      </c>
      <c r="I159" s="33">
        <f t="shared" si="35"/>
        <v>0</v>
      </c>
      <c r="K159" s="28"/>
    </row>
    <row r="160" spans="2:11" x14ac:dyDescent="0.2">
      <c r="B160" s="20"/>
      <c r="C160" s="21" t="s">
        <v>88</v>
      </c>
      <c r="D160" s="33">
        <v>0</v>
      </c>
      <c r="E160" s="33">
        <v>0</v>
      </c>
      <c r="F160" s="33">
        <f t="shared" si="37"/>
        <v>0</v>
      </c>
      <c r="G160" s="33">
        <v>0</v>
      </c>
      <c r="H160" s="33">
        <v>0</v>
      </c>
      <c r="I160" s="33">
        <f t="shared" si="35"/>
        <v>0</v>
      </c>
      <c r="K160" s="28"/>
    </row>
    <row r="161" spans="2:13" x14ac:dyDescent="0.2">
      <c r="B161" s="20"/>
      <c r="C161" s="21"/>
      <c r="D161" s="33"/>
      <c r="E161" s="33"/>
      <c r="F161" s="33"/>
      <c r="G161" s="33"/>
      <c r="H161" s="33"/>
      <c r="I161" s="33"/>
      <c r="K161" s="28"/>
    </row>
    <row r="162" spans="2:13" x14ac:dyDescent="0.2">
      <c r="B162" s="18" t="s">
        <v>90</v>
      </c>
      <c r="C162" s="19"/>
      <c r="D162" s="31">
        <f t="shared" ref="D162:I162" si="38">+D10+D87</f>
        <v>265898591.59999999</v>
      </c>
      <c r="E162" s="31">
        <f t="shared" si="38"/>
        <v>16677742.66</v>
      </c>
      <c r="F162" s="31">
        <f t="shared" si="38"/>
        <v>282576334.26000005</v>
      </c>
      <c r="G162" s="31">
        <f t="shared" si="38"/>
        <v>274736584.48166001</v>
      </c>
      <c r="H162" s="31">
        <f t="shared" si="38"/>
        <v>267373625.74144</v>
      </c>
      <c r="I162" s="31">
        <f t="shared" si="38"/>
        <v>7839749.7533400003</v>
      </c>
      <c r="M162" s="28"/>
    </row>
    <row r="163" spans="2:13" x14ac:dyDescent="0.2">
      <c r="B163" s="22"/>
      <c r="C163" s="23"/>
      <c r="D163" s="27"/>
      <c r="E163" s="27"/>
      <c r="F163" s="27"/>
      <c r="G163" s="27"/>
      <c r="H163" s="27"/>
      <c r="I163" s="27"/>
    </row>
    <row r="164" spans="2:13" x14ac:dyDescent="0.2">
      <c r="B164" s="36"/>
      <c r="C164" s="36"/>
      <c r="D164" s="35"/>
      <c r="E164" s="35"/>
      <c r="F164" s="35"/>
      <c r="G164" s="35"/>
      <c r="H164" s="35"/>
      <c r="I164" s="35"/>
    </row>
    <row r="165" spans="2:13" s="36" customFormat="1" x14ac:dyDescent="0.2">
      <c r="D165" s="35"/>
      <c r="E165" s="35"/>
      <c r="F165" s="35"/>
      <c r="G165" s="35"/>
      <c r="H165" s="35"/>
      <c r="I165" s="35"/>
      <c r="J165" s="35"/>
    </row>
    <row r="166" spans="2:13" s="36" customFormat="1" x14ac:dyDescent="0.2">
      <c r="D166" s="35"/>
      <c r="E166" s="35"/>
      <c r="F166" s="35"/>
      <c r="G166" s="35"/>
      <c r="H166" s="35"/>
      <c r="I166" s="35"/>
      <c r="J166" s="35"/>
    </row>
    <row r="167" spans="2:13" s="36" customFormat="1" x14ac:dyDescent="0.2">
      <c r="D167" s="35"/>
      <c r="E167" s="35"/>
      <c r="F167" s="35"/>
      <c r="G167" s="35"/>
      <c r="H167" s="35"/>
      <c r="I167" s="35"/>
      <c r="J167" s="35"/>
    </row>
    <row r="168" spans="2:13" s="36" customFormat="1" x14ac:dyDescent="0.2">
      <c r="D168" s="35"/>
      <c r="E168" s="35"/>
      <c r="F168" s="35"/>
      <c r="G168" s="35"/>
      <c r="H168" s="35"/>
      <c r="I168" s="35"/>
      <c r="J168" s="35"/>
    </row>
    <row r="169" spans="2:13" s="36" customFormat="1" x14ac:dyDescent="0.2">
      <c r="D169" s="35"/>
      <c r="E169" s="35"/>
      <c r="F169" s="35"/>
      <c r="G169" s="35"/>
      <c r="H169" s="35"/>
      <c r="I169" s="35"/>
      <c r="J169" s="35"/>
    </row>
    <row r="170" spans="2:13" s="36" customFormat="1" x14ac:dyDescent="0.2">
      <c r="D170" s="35"/>
      <c r="E170" s="35"/>
      <c r="F170" s="35"/>
      <c r="G170" s="35"/>
      <c r="H170" s="35"/>
      <c r="I170" s="35"/>
      <c r="J170" s="35"/>
    </row>
    <row r="171" spans="2:13" s="36" customFormat="1" x14ac:dyDescent="0.2">
      <c r="D171" s="35"/>
      <c r="E171" s="35"/>
      <c r="F171" s="35"/>
      <c r="G171" s="35"/>
      <c r="H171" s="35"/>
      <c r="I171" s="35"/>
      <c r="J171" s="35"/>
    </row>
    <row r="172" spans="2:13" s="36" customFormat="1" x14ac:dyDescent="0.2">
      <c r="D172" s="35"/>
      <c r="E172" s="35"/>
      <c r="F172" s="35"/>
      <c r="G172" s="35"/>
      <c r="H172" s="35"/>
      <c r="I172" s="35"/>
      <c r="J172" s="35"/>
    </row>
    <row r="173" spans="2:13" s="36" customFormat="1" x14ac:dyDescent="0.2">
      <c r="D173" s="35"/>
      <c r="E173" s="35"/>
      <c r="F173" s="35"/>
      <c r="G173" s="35"/>
      <c r="H173" s="35"/>
      <c r="I173" s="35"/>
      <c r="J173" s="35"/>
    </row>
    <row r="174" spans="2:13" s="36" customFormat="1" x14ac:dyDescent="0.2">
      <c r="D174" s="35"/>
      <c r="E174" s="35"/>
      <c r="F174" s="35"/>
      <c r="G174" s="35"/>
      <c r="H174" s="35"/>
      <c r="I174" s="35"/>
      <c r="J174" s="35"/>
    </row>
    <row r="175" spans="2:13" s="36" customFormat="1" x14ac:dyDescent="0.2">
      <c r="D175" s="35"/>
      <c r="E175" s="35"/>
      <c r="F175" s="35"/>
      <c r="G175" s="35"/>
      <c r="H175" s="35"/>
      <c r="I175" s="35"/>
      <c r="J175" s="35"/>
    </row>
  </sheetData>
  <mergeCells count="31">
    <mergeCell ref="B162:C162"/>
    <mergeCell ref="B116:C116"/>
    <mergeCell ref="B126:C126"/>
    <mergeCell ref="B136:C136"/>
    <mergeCell ref="B140:C140"/>
    <mergeCell ref="B149:C149"/>
    <mergeCell ref="B153:C153"/>
    <mergeCell ref="B72:C72"/>
    <mergeCell ref="B76:C76"/>
    <mergeCell ref="B87:C87"/>
    <mergeCell ref="B88:C88"/>
    <mergeCell ref="B96:C96"/>
    <mergeCell ref="B106:C106"/>
    <mergeCell ref="B19:C19"/>
    <mergeCell ref="B29:C29"/>
    <mergeCell ref="B39:C39"/>
    <mergeCell ref="B49:C49"/>
    <mergeCell ref="B59:C59"/>
    <mergeCell ref="B63:C63"/>
    <mergeCell ref="B7:I7"/>
    <mergeCell ref="B8:C9"/>
    <mergeCell ref="D8:H8"/>
    <mergeCell ref="I8:I9"/>
    <mergeCell ref="B10:C10"/>
    <mergeCell ref="B11:C11"/>
    <mergeCell ref="B1:I1"/>
    <mergeCell ref="B2:I2"/>
    <mergeCell ref="B3:I3"/>
    <mergeCell ref="B4:I4"/>
    <mergeCell ref="B5:I5"/>
    <mergeCell ref="B6:I6"/>
  </mergeCells>
  <printOptions horizontalCentered="1"/>
  <pageMargins left="0.70866141732283472" right="0.70866141732283472" top="0.74803149606299213" bottom="0.74803149606299213" header="0.31496062992125984" footer="0.31496062992125984"/>
  <pageSetup scale="78" fitToHeight="2000" orientation="landscape" r:id="rId1"/>
  <rowBreaks count="1" manualBreakCount="1"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6a ok DEF</vt:lpstr>
      <vt:lpstr>'FORMATO 6a ok DEF'!Títulos_a_imprimir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2022-05-06T17:49:47Z</cp:lastPrinted>
  <dcterms:created xsi:type="dcterms:W3CDTF">2022-05-06T17:49:01Z</dcterms:created>
  <dcterms:modified xsi:type="dcterms:W3CDTF">2022-05-06T17:49:55Z</dcterms:modified>
</cp:coreProperties>
</file>