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a ok DEF" sheetId="1" r:id="rId1"/>
  </sheets>
  <definedNames>
    <definedName name="_xlnm.Print_Titles" localSheetId="0">'FORMATO 6a ok DEF'!$1:$9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0" i="1" l="1"/>
  <c r="F160" i="1"/>
  <c r="I160" i="1" s="1"/>
  <c r="H159" i="1"/>
  <c r="F159" i="1"/>
  <c r="I159" i="1" s="1"/>
  <c r="H158" i="1"/>
  <c r="F158" i="1"/>
  <c r="I158" i="1" s="1"/>
  <c r="H157" i="1"/>
  <c r="F157" i="1"/>
  <c r="I157" i="1" s="1"/>
  <c r="H156" i="1"/>
  <c r="F156" i="1"/>
  <c r="I156" i="1" s="1"/>
  <c r="H155" i="1"/>
  <c r="F155" i="1"/>
  <c r="F153" i="1" s="1"/>
  <c r="I153" i="1" s="1"/>
  <c r="H154" i="1"/>
  <c r="F154" i="1"/>
  <c r="I154" i="1" s="1"/>
  <c r="G153" i="1"/>
  <c r="E153" i="1"/>
  <c r="D153" i="1"/>
  <c r="H152" i="1"/>
  <c r="F152" i="1"/>
  <c r="I152" i="1" s="1"/>
  <c r="H151" i="1"/>
  <c r="H149" i="1" s="1"/>
  <c r="F151" i="1"/>
  <c r="I151" i="1" s="1"/>
  <c r="H150" i="1"/>
  <c r="F150" i="1"/>
  <c r="F149" i="1" s="1"/>
  <c r="I149" i="1" s="1"/>
  <c r="G149" i="1"/>
  <c r="E149" i="1"/>
  <c r="D149" i="1"/>
  <c r="H148" i="1"/>
  <c r="H71" i="1" s="1"/>
  <c r="F148" i="1"/>
  <c r="I148" i="1" s="1"/>
  <c r="H147" i="1"/>
  <c r="F147" i="1"/>
  <c r="I147" i="1" s="1"/>
  <c r="H146" i="1"/>
  <c r="H69" i="1" s="1"/>
  <c r="F146" i="1"/>
  <c r="I146" i="1" s="1"/>
  <c r="H145" i="1"/>
  <c r="F145" i="1"/>
  <c r="I145" i="1" s="1"/>
  <c r="H144" i="1"/>
  <c r="H67" i="1" s="1"/>
  <c r="F144" i="1"/>
  <c r="I144" i="1" s="1"/>
  <c r="H143" i="1"/>
  <c r="F143" i="1"/>
  <c r="I143" i="1" s="1"/>
  <c r="H142" i="1"/>
  <c r="H65" i="1" s="1"/>
  <c r="F142" i="1"/>
  <c r="I142" i="1" s="1"/>
  <c r="H141" i="1"/>
  <c r="F141" i="1"/>
  <c r="I141" i="1" s="1"/>
  <c r="H140" i="1"/>
  <c r="G140" i="1"/>
  <c r="F140" i="1"/>
  <c r="I140" i="1" s="1"/>
  <c r="E140" i="1"/>
  <c r="D140" i="1"/>
  <c r="H139" i="1"/>
  <c r="F139" i="1"/>
  <c r="I139" i="1" s="1"/>
  <c r="H138" i="1"/>
  <c r="F138" i="1"/>
  <c r="F136" i="1" s="1"/>
  <c r="H137" i="1"/>
  <c r="F137" i="1"/>
  <c r="I137" i="1" s="1"/>
  <c r="I136" i="1"/>
  <c r="G136" i="1"/>
  <c r="E136" i="1"/>
  <c r="D136" i="1"/>
  <c r="H135" i="1"/>
  <c r="F135" i="1"/>
  <c r="I135" i="1" s="1"/>
  <c r="H134" i="1"/>
  <c r="F134" i="1"/>
  <c r="I134" i="1" s="1"/>
  <c r="H133" i="1"/>
  <c r="F133" i="1"/>
  <c r="I133" i="1" s="1"/>
  <c r="H132" i="1"/>
  <c r="F132" i="1"/>
  <c r="I132" i="1" s="1"/>
  <c r="H131" i="1"/>
  <c r="F131" i="1"/>
  <c r="I131" i="1" s="1"/>
  <c r="H130" i="1"/>
  <c r="F130" i="1"/>
  <c r="I130" i="1" s="1"/>
  <c r="H129" i="1"/>
  <c r="F129" i="1"/>
  <c r="I129" i="1" s="1"/>
  <c r="H128" i="1"/>
  <c r="H126" i="1" s="1"/>
  <c r="F128" i="1"/>
  <c r="I128" i="1" s="1"/>
  <c r="H127" i="1"/>
  <c r="F127" i="1"/>
  <c r="I127" i="1" s="1"/>
  <c r="G126" i="1"/>
  <c r="E126" i="1"/>
  <c r="D126" i="1"/>
  <c r="F126" i="1" s="1"/>
  <c r="H125" i="1"/>
  <c r="F125" i="1"/>
  <c r="I125" i="1" s="1"/>
  <c r="H124" i="1"/>
  <c r="F124" i="1"/>
  <c r="I124" i="1" s="1"/>
  <c r="H123" i="1"/>
  <c r="F123" i="1"/>
  <c r="I123" i="1" s="1"/>
  <c r="G122" i="1"/>
  <c r="F122" i="1"/>
  <c r="H121" i="1"/>
  <c r="F121" i="1"/>
  <c r="I121" i="1" s="1"/>
  <c r="H120" i="1"/>
  <c r="F120" i="1"/>
  <c r="I120" i="1" s="1"/>
  <c r="H119" i="1"/>
  <c r="F119" i="1"/>
  <c r="I119" i="1" s="1"/>
  <c r="H118" i="1"/>
  <c r="F118" i="1"/>
  <c r="I118" i="1" s="1"/>
  <c r="H117" i="1"/>
  <c r="F117" i="1"/>
  <c r="I117" i="1" s="1"/>
  <c r="F116" i="1"/>
  <c r="E116" i="1"/>
  <c r="D116" i="1"/>
  <c r="H115" i="1"/>
  <c r="F115" i="1"/>
  <c r="I115" i="1" s="1"/>
  <c r="H114" i="1"/>
  <c r="F114" i="1"/>
  <c r="I114" i="1" s="1"/>
  <c r="H113" i="1"/>
  <c r="F113" i="1"/>
  <c r="I113" i="1" s="1"/>
  <c r="H112" i="1"/>
  <c r="F112" i="1"/>
  <c r="I112" i="1" s="1"/>
  <c r="H111" i="1"/>
  <c r="F111" i="1"/>
  <c r="I111" i="1" s="1"/>
  <c r="H110" i="1"/>
  <c r="F110" i="1"/>
  <c r="I110" i="1" s="1"/>
  <c r="H109" i="1"/>
  <c r="H32" i="1" s="1"/>
  <c r="H29" i="1" s="1"/>
  <c r="F109" i="1"/>
  <c r="I109" i="1" s="1"/>
  <c r="H108" i="1"/>
  <c r="F108" i="1"/>
  <c r="F106" i="1" s="1"/>
  <c r="H107" i="1"/>
  <c r="F107" i="1"/>
  <c r="I107" i="1" s="1"/>
  <c r="G106" i="1"/>
  <c r="E106" i="1"/>
  <c r="D106" i="1"/>
  <c r="H105" i="1"/>
  <c r="F105" i="1"/>
  <c r="I105" i="1" s="1"/>
  <c r="H104" i="1"/>
  <c r="F104" i="1"/>
  <c r="I104" i="1" s="1"/>
  <c r="H103" i="1"/>
  <c r="F103" i="1"/>
  <c r="I103" i="1" s="1"/>
  <c r="H102" i="1"/>
  <c r="F102" i="1"/>
  <c r="I102" i="1" s="1"/>
  <c r="H101" i="1"/>
  <c r="F101" i="1"/>
  <c r="I101" i="1" s="1"/>
  <c r="H100" i="1"/>
  <c r="H23" i="1" s="1"/>
  <c r="F100" i="1"/>
  <c r="I100" i="1" s="1"/>
  <c r="H99" i="1"/>
  <c r="F99" i="1"/>
  <c r="I99" i="1" s="1"/>
  <c r="H98" i="1"/>
  <c r="F98" i="1"/>
  <c r="I98" i="1" s="1"/>
  <c r="H97" i="1"/>
  <c r="F97" i="1"/>
  <c r="I97" i="1" s="1"/>
  <c r="I96" i="1" s="1"/>
  <c r="H96" i="1"/>
  <c r="G96" i="1"/>
  <c r="F96" i="1"/>
  <c r="E96" i="1"/>
  <c r="D96" i="1"/>
  <c r="H95" i="1"/>
  <c r="F95" i="1"/>
  <c r="I95" i="1" s="1"/>
  <c r="H94" i="1"/>
  <c r="F94" i="1"/>
  <c r="I94" i="1" s="1"/>
  <c r="H93" i="1"/>
  <c r="H16" i="1" s="1"/>
  <c r="H11" i="1" s="1"/>
  <c r="F93" i="1"/>
  <c r="I93" i="1" s="1"/>
  <c r="H92" i="1"/>
  <c r="F92" i="1"/>
  <c r="I92" i="1" s="1"/>
  <c r="H91" i="1"/>
  <c r="F91" i="1"/>
  <c r="I91" i="1" s="1"/>
  <c r="H90" i="1"/>
  <c r="F90" i="1"/>
  <c r="I90" i="1" s="1"/>
  <c r="H89" i="1"/>
  <c r="D89" i="1"/>
  <c r="F89" i="1" s="1"/>
  <c r="I89" i="1" s="1"/>
  <c r="H88" i="1"/>
  <c r="G88" i="1"/>
  <c r="F88" i="1"/>
  <c r="E88" i="1"/>
  <c r="D88" i="1"/>
  <c r="D87" i="1" s="1"/>
  <c r="F83" i="1"/>
  <c r="I83" i="1" s="1"/>
  <c r="F82" i="1"/>
  <c r="I82" i="1" s="1"/>
  <c r="D82" i="1"/>
  <c r="D81" i="1"/>
  <c r="F81" i="1" s="1"/>
  <c r="I81" i="1" s="1"/>
  <c r="F80" i="1"/>
  <c r="I80" i="1" s="1"/>
  <c r="D80" i="1"/>
  <c r="D79" i="1"/>
  <c r="F79" i="1" s="1"/>
  <c r="I79" i="1" s="1"/>
  <c r="H78" i="1"/>
  <c r="G78" i="1"/>
  <c r="F78" i="1"/>
  <c r="I78" i="1" s="1"/>
  <c r="D78" i="1"/>
  <c r="D77" i="1"/>
  <c r="F77" i="1" s="1"/>
  <c r="I77" i="1" s="1"/>
  <c r="I76" i="1" s="1"/>
  <c r="H76" i="1"/>
  <c r="G76" i="1"/>
  <c r="E76" i="1"/>
  <c r="H75" i="1"/>
  <c r="H72" i="1" s="1"/>
  <c r="G75" i="1"/>
  <c r="F75" i="1"/>
  <c r="I75" i="1" s="1"/>
  <c r="D75" i="1"/>
  <c r="G74" i="1"/>
  <c r="F74" i="1"/>
  <c r="I74" i="1" s="1"/>
  <c r="D74" i="1"/>
  <c r="H73" i="1"/>
  <c r="F73" i="1"/>
  <c r="F72" i="1" s="1"/>
  <c r="D73" i="1"/>
  <c r="G72" i="1"/>
  <c r="E72" i="1"/>
  <c r="D72" i="1"/>
  <c r="G71" i="1"/>
  <c r="D71" i="1"/>
  <c r="F71" i="1" s="1"/>
  <c r="I71" i="1" s="1"/>
  <c r="H70" i="1"/>
  <c r="G70" i="1"/>
  <c r="F70" i="1"/>
  <c r="I70" i="1" s="1"/>
  <c r="D70" i="1"/>
  <c r="G69" i="1"/>
  <c r="D69" i="1"/>
  <c r="F69" i="1" s="1"/>
  <c r="I69" i="1" s="1"/>
  <c r="F68" i="1"/>
  <c r="I68" i="1" s="1"/>
  <c r="D68" i="1"/>
  <c r="G67" i="1"/>
  <c r="D67" i="1"/>
  <c r="F67" i="1" s="1"/>
  <c r="I67" i="1" s="1"/>
  <c r="H66" i="1"/>
  <c r="G66" i="1"/>
  <c r="F66" i="1"/>
  <c r="I66" i="1" s="1"/>
  <c r="D66" i="1"/>
  <c r="G65" i="1"/>
  <c r="G63" i="1" s="1"/>
  <c r="D65" i="1"/>
  <c r="H64" i="1"/>
  <c r="H63" i="1" s="1"/>
  <c r="G64" i="1"/>
  <c r="F64" i="1"/>
  <c r="D64" i="1"/>
  <c r="E63" i="1"/>
  <c r="D62" i="1"/>
  <c r="F62" i="1" s="1"/>
  <c r="I62" i="1" s="1"/>
  <c r="F61" i="1"/>
  <c r="I61" i="1" s="1"/>
  <c r="D61" i="1"/>
  <c r="G60" i="1"/>
  <c r="G59" i="1" s="1"/>
  <c r="D60" i="1"/>
  <c r="F60" i="1" s="1"/>
  <c r="I60" i="1" s="1"/>
  <c r="I59" i="1" s="1"/>
  <c r="E59" i="1"/>
  <c r="E58" i="1"/>
  <c r="D58" i="1"/>
  <c r="F58" i="1" s="1"/>
  <c r="I58" i="1" s="1"/>
  <c r="D57" i="1"/>
  <c r="F57" i="1" s="1"/>
  <c r="I57" i="1" s="1"/>
  <c r="F56" i="1"/>
  <c r="I56" i="1" s="1"/>
  <c r="D56" i="1"/>
  <c r="D55" i="1"/>
  <c r="F55" i="1" s="1"/>
  <c r="I55" i="1" s="1"/>
  <c r="F54" i="1"/>
  <c r="I54" i="1" s="1"/>
  <c r="D54" i="1"/>
  <c r="D53" i="1"/>
  <c r="F53" i="1" s="1"/>
  <c r="I53" i="1" s="1"/>
  <c r="F52" i="1"/>
  <c r="I52" i="1" s="1"/>
  <c r="D52" i="1"/>
  <c r="D51" i="1"/>
  <c r="F51" i="1" s="1"/>
  <c r="I51" i="1" s="1"/>
  <c r="G50" i="1"/>
  <c r="E50" i="1"/>
  <c r="D50" i="1"/>
  <c r="F50" i="1" s="1"/>
  <c r="H49" i="1"/>
  <c r="G49" i="1"/>
  <c r="E49" i="1"/>
  <c r="D48" i="1"/>
  <c r="F48" i="1" s="1"/>
  <c r="I48" i="1" s="1"/>
  <c r="F47" i="1"/>
  <c r="I47" i="1" s="1"/>
  <c r="D47" i="1"/>
  <c r="D46" i="1"/>
  <c r="F46" i="1" s="1"/>
  <c r="I46" i="1" s="1"/>
  <c r="F45" i="1"/>
  <c r="D45" i="1"/>
  <c r="D44" i="1"/>
  <c r="F44" i="1" s="1"/>
  <c r="I44" i="1" s="1"/>
  <c r="H43" i="1"/>
  <c r="G43" i="1"/>
  <c r="E43" i="1"/>
  <c r="D43" i="1"/>
  <c r="F43" i="1" s="1"/>
  <c r="I43" i="1" s="1"/>
  <c r="F42" i="1"/>
  <c r="I42" i="1" s="1"/>
  <c r="D42" i="1"/>
  <c r="D41" i="1"/>
  <c r="F41" i="1" s="1"/>
  <c r="I41" i="1" s="1"/>
  <c r="H40" i="1"/>
  <c r="G40" i="1"/>
  <c r="F40" i="1"/>
  <c r="I40" i="1" s="1"/>
  <c r="D40" i="1"/>
  <c r="E39" i="1"/>
  <c r="D38" i="1"/>
  <c r="F38" i="1" s="1"/>
  <c r="I38" i="1" s="1"/>
  <c r="H37" i="1"/>
  <c r="G37" i="1"/>
  <c r="E37" i="1"/>
  <c r="D37" i="1"/>
  <c r="F37" i="1" s="1"/>
  <c r="I37" i="1" s="1"/>
  <c r="H36" i="1"/>
  <c r="G36" i="1"/>
  <c r="F36" i="1"/>
  <c r="I36" i="1" s="1"/>
  <c r="D36" i="1"/>
  <c r="H35" i="1"/>
  <c r="G35" i="1"/>
  <c r="E35" i="1"/>
  <c r="D35" i="1"/>
  <c r="F35" i="1" s="1"/>
  <c r="I35" i="1" s="1"/>
  <c r="D34" i="1"/>
  <c r="F34" i="1" s="1"/>
  <c r="I34" i="1" s="1"/>
  <c r="F33" i="1"/>
  <c r="I33" i="1" s="1"/>
  <c r="D33" i="1"/>
  <c r="G32" i="1"/>
  <c r="E32" i="1"/>
  <c r="D32" i="1"/>
  <c r="F32" i="1" s="1"/>
  <c r="I32" i="1" s="1"/>
  <c r="D31" i="1"/>
  <c r="F31" i="1" s="1"/>
  <c r="I31" i="1" s="1"/>
  <c r="F30" i="1"/>
  <c r="I30" i="1" s="1"/>
  <c r="D30" i="1"/>
  <c r="G29" i="1"/>
  <c r="E29" i="1"/>
  <c r="D28" i="1"/>
  <c r="F28" i="1" s="1"/>
  <c r="I28" i="1" s="1"/>
  <c r="F27" i="1"/>
  <c r="I27" i="1" s="1"/>
  <c r="D27" i="1"/>
  <c r="D26" i="1"/>
  <c r="F26" i="1" s="1"/>
  <c r="I26" i="1" s="1"/>
  <c r="H25" i="1"/>
  <c r="G25" i="1"/>
  <c r="E25" i="1"/>
  <c r="D25" i="1"/>
  <c r="F25" i="1" s="1"/>
  <c r="I25" i="1" s="1"/>
  <c r="F24" i="1"/>
  <c r="I24" i="1" s="1"/>
  <c r="D24" i="1"/>
  <c r="G23" i="1"/>
  <c r="E23" i="1"/>
  <c r="D23" i="1"/>
  <c r="F23" i="1" s="1"/>
  <c r="I23" i="1" s="1"/>
  <c r="D22" i="1"/>
  <c r="F22" i="1" s="1"/>
  <c r="I22" i="1" s="1"/>
  <c r="H21" i="1"/>
  <c r="H19" i="1" s="1"/>
  <c r="G21" i="1"/>
  <c r="F21" i="1"/>
  <c r="I21" i="1" s="1"/>
  <c r="D21" i="1"/>
  <c r="H20" i="1"/>
  <c r="G20" i="1"/>
  <c r="E20" i="1"/>
  <c r="D20" i="1"/>
  <c r="F20" i="1" s="1"/>
  <c r="G19" i="1"/>
  <c r="E19" i="1"/>
  <c r="D18" i="1"/>
  <c r="F18" i="1" s="1"/>
  <c r="I18" i="1" s="1"/>
  <c r="F17" i="1"/>
  <c r="I17" i="1" s="1"/>
  <c r="D17" i="1"/>
  <c r="G16" i="1"/>
  <c r="E16" i="1"/>
  <c r="D16" i="1"/>
  <c r="F16" i="1" s="1"/>
  <c r="I16" i="1" s="1"/>
  <c r="H15" i="1"/>
  <c r="G15" i="1"/>
  <c r="E15" i="1"/>
  <c r="D15" i="1"/>
  <c r="F15" i="1" s="1"/>
  <c r="I15" i="1" s="1"/>
  <c r="H14" i="1"/>
  <c r="G14" i="1"/>
  <c r="G11" i="1" s="1"/>
  <c r="E14" i="1"/>
  <c r="E11" i="1" s="1"/>
  <c r="E10" i="1" s="1"/>
  <c r="D14" i="1"/>
  <c r="F14" i="1" s="1"/>
  <c r="I14" i="1" s="1"/>
  <c r="D13" i="1"/>
  <c r="F13" i="1" s="1"/>
  <c r="I13" i="1" s="1"/>
  <c r="H12" i="1"/>
  <c r="G12" i="1"/>
  <c r="E12" i="1"/>
  <c r="D12" i="1"/>
  <c r="F12" i="1" s="1"/>
  <c r="I12" i="1" s="1"/>
  <c r="F11" i="1"/>
  <c r="I11" i="1" s="1"/>
  <c r="D11" i="1"/>
  <c r="G10" i="1" l="1"/>
  <c r="F19" i="1"/>
  <c r="I20" i="1"/>
  <c r="I19" i="1" s="1"/>
  <c r="I50" i="1"/>
  <c r="F49" i="1"/>
  <c r="I49" i="1" s="1"/>
  <c r="I126" i="1"/>
  <c r="F87" i="1"/>
  <c r="I29" i="1"/>
  <c r="I64" i="1"/>
  <c r="F63" i="1"/>
  <c r="I73" i="1"/>
  <c r="I72" i="1" s="1"/>
  <c r="G87" i="1"/>
  <c r="I108" i="1"/>
  <c r="I106" i="1" s="1"/>
  <c r="H122" i="1"/>
  <c r="H45" i="1" s="1"/>
  <c r="H39" i="1" s="1"/>
  <c r="H10" i="1" s="1"/>
  <c r="G116" i="1"/>
  <c r="H136" i="1"/>
  <c r="H60" i="1"/>
  <c r="H59" i="1" s="1"/>
  <c r="I150" i="1"/>
  <c r="I155" i="1"/>
  <c r="D19" i="1"/>
  <c r="D29" i="1"/>
  <c r="F29" i="1"/>
  <c r="F10" i="1" s="1"/>
  <c r="F162" i="1" s="1"/>
  <c r="D39" i="1"/>
  <c r="F39" i="1"/>
  <c r="G45" i="1"/>
  <c r="G39" i="1" s="1"/>
  <c r="D49" i="1"/>
  <c r="D59" i="1"/>
  <c r="F59" i="1"/>
  <c r="F65" i="1"/>
  <c r="I65" i="1" s="1"/>
  <c r="D63" i="1"/>
  <c r="D76" i="1"/>
  <c r="F76" i="1"/>
  <c r="I88" i="1"/>
  <c r="E87" i="1"/>
  <c r="E162" i="1" s="1"/>
  <c r="H106" i="1"/>
  <c r="I122" i="1"/>
  <c r="I116" i="1" s="1"/>
  <c r="I138" i="1"/>
  <c r="H153" i="1"/>
  <c r="D10" i="1" l="1"/>
  <c r="D162" i="1" s="1"/>
  <c r="H116" i="1"/>
  <c r="H87" i="1" s="1"/>
  <c r="H162" i="1" s="1"/>
  <c r="G162" i="1"/>
  <c r="I87" i="1"/>
  <c r="I63" i="1"/>
  <c r="I45" i="1"/>
  <c r="I39" i="1" s="1"/>
  <c r="I10" i="1" s="1"/>
  <c r="I162" i="1" s="1"/>
</calcChain>
</file>

<file path=xl/sharedStrings.xml><?xml version="1.0" encoding="utf-8"?>
<sst xmlns="http://schemas.openxmlformats.org/spreadsheetml/2006/main" count="164" uniqueCount="91">
  <si>
    <t>Formato 6 a) Estado Analítico del Ejercicio del Presupuesto de Egresos Detallado - LDF</t>
  </si>
  <si>
    <t>(Clasificación por Objeto del Gasto)</t>
  </si>
  <si>
    <t>Sector Central del Poder Ejecutivo del Estado Libre y Soberano de México</t>
  </si>
  <si>
    <t>Estado Analítico del Ejercicio del Presupuesto de Egresos Detallado - LDF</t>
  </si>
  <si>
    <t xml:space="preserve">Clasificación por Objeto del Gasto (Capítulo y Concepto) </t>
  </si>
  <si>
    <t>Del 1 de marzo al 30 de septiembre de 2022 (b)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</si>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</sst>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.5"/>
      <color theme="1"/>
      <name val="Arial"/>
      <family val="2"/>
    </font>
    <font>
      <b/>
      <sz val="6.5"/>
      <color theme="1"/>
      <name val="Calibri"/>
      <family val="2"/>
      <scheme val="minor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4" fontId="5" fillId="0" borderId="4" xfId="0" applyNumberFormat="1" applyFont="1" applyFill="1" applyBorder="1"/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64" fontId="5" fillId="0" borderId="7" xfId="0" applyNumberFormat="1" applyFont="1" applyFill="1" applyBorder="1"/>
    <xf numFmtId="43" fontId="0" fillId="0" borderId="0" xfId="1" applyFont="1"/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64" fontId="7" fillId="0" borderId="0" xfId="0" applyNumberFormat="1" applyFont="1" applyFill="1"/>
    <xf numFmtId="164" fontId="7" fillId="0" borderId="7" xfId="0" applyNumberFormat="1" applyFont="1" applyFill="1" applyBorder="1"/>
    <xf numFmtId="43" fontId="2" fillId="0" borderId="0" xfId="1" applyFont="1"/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164" fontId="7" fillId="0" borderId="1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/>
    <xf numFmtId="164" fontId="4" fillId="0" borderId="10" xfId="1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43" fontId="8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P179"/>
  <sheetViews>
    <sheetView showGridLines="0" tabSelected="1" zoomScaleNormal="100" workbookViewId="0">
      <pane ySplit="9" topLeftCell="A10" activePane="bottomLeft" state="frozen"/>
      <selection pane="bottomLeft" activeCell="C16" sqref="C16"/>
    </sheetView>
  </sheetViews>
  <sheetFormatPr baseColWidth="10" defaultColWidth="11.42578125" defaultRowHeight="15" x14ac:dyDescent="0.25"/>
  <cols>
    <col min="1" max="1" width="2.42578125" customWidth="1"/>
    <col min="2" max="2" width="3.140625" customWidth="1"/>
    <col min="3" max="3" width="65" customWidth="1"/>
    <col min="4" max="4" width="11.140625" style="2" bestFit="1" customWidth="1"/>
    <col min="5" max="5" width="11.85546875" style="2" bestFit="1" customWidth="1"/>
    <col min="6" max="6" width="10.85546875" style="2" bestFit="1" customWidth="1"/>
    <col min="7" max="8" width="11.140625" style="2" bestFit="1" customWidth="1"/>
    <col min="9" max="9" width="12.7109375" style="2" bestFit="1" customWidth="1"/>
    <col min="10" max="10" width="12.5703125" style="2" bestFit="1" customWidth="1"/>
    <col min="11" max="11" width="18" bestFit="1" customWidth="1"/>
    <col min="12" max="12" width="17.140625" customWidth="1"/>
    <col min="13" max="14" width="14.140625" bestFit="1" customWidth="1"/>
    <col min="16" max="16" width="12.7109375" bestFit="1" customWidth="1"/>
  </cols>
  <sheetData>
    <row r="1" spans="2:16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16" x14ac:dyDescent="0.25">
      <c r="B2" s="3" t="s">
        <v>1</v>
      </c>
      <c r="C2" s="3"/>
      <c r="D2" s="3"/>
      <c r="E2" s="3"/>
      <c r="F2" s="3"/>
      <c r="G2" s="3"/>
      <c r="H2" s="3"/>
      <c r="I2" s="3"/>
    </row>
    <row r="3" spans="2:16" ht="12" customHeight="1" x14ac:dyDescent="0.25">
      <c r="B3" s="4" t="s">
        <v>2</v>
      </c>
      <c r="C3" s="4"/>
      <c r="D3" s="4"/>
      <c r="E3" s="4"/>
      <c r="F3" s="4"/>
      <c r="G3" s="4"/>
      <c r="H3" s="4"/>
      <c r="I3" s="4"/>
    </row>
    <row r="4" spans="2:16" ht="12" customHeight="1" x14ac:dyDescent="0.25">
      <c r="B4" s="4" t="s">
        <v>3</v>
      </c>
      <c r="C4" s="4"/>
      <c r="D4" s="4"/>
      <c r="E4" s="4"/>
      <c r="F4" s="4"/>
      <c r="G4" s="4"/>
      <c r="H4" s="4"/>
      <c r="I4" s="4"/>
    </row>
    <row r="5" spans="2:16" ht="12" customHeight="1" x14ac:dyDescent="0.25">
      <c r="B5" s="4" t="s">
        <v>4</v>
      </c>
      <c r="C5" s="4"/>
      <c r="D5" s="4"/>
      <c r="E5" s="4"/>
      <c r="F5" s="4"/>
      <c r="G5" s="4"/>
      <c r="H5" s="4"/>
      <c r="I5" s="4"/>
    </row>
    <row r="6" spans="2:16" ht="12" customHeight="1" x14ac:dyDescent="0.25">
      <c r="B6" s="4" t="s">
        <v>5</v>
      </c>
      <c r="C6" s="4"/>
      <c r="D6" s="4"/>
      <c r="E6" s="4"/>
      <c r="F6" s="4"/>
      <c r="G6" s="4"/>
      <c r="H6" s="4"/>
      <c r="I6" s="4"/>
    </row>
    <row r="7" spans="2:16" ht="12" customHeight="1" x14ac:dyDescent="0.25">
      <c r="B7" s="4" t="s">
        <v>6</v>
      </c>
      <c r="C7" s="4"/>
      <c r="D7" s="4"/>
      <c r="E7" s="4"/>
      <c r="F7" s="4"/>
      <c r="G7" s="4"/>
      <c r="H7" s="4"/>
      <c r="I7" s="4"/>
    </row>
    <row r="8" spans="2:16" x14ac:dyDescent="0.25">
      <c r="B8" s="5" t="s">
        <v>7</v>
      </c>
      <c r="C8" s="5"/>
      <c r="D8" s="6" t="s">
        <v>8</v>
      </c>
      <c r="E8" s="6"/>
      <c r="F8" s="6"/>
      <c r="G8" s="6"/>
      <c r="H8" s="6"/>
      <c r="I8" s="6" t="s">
        <v>9</v>
      </c>
    </row>
    <row r="9" spans="2:16" ht="18" x14ac:dyDescent="0.25">
      <c r="B9" s="5"/>
      <c r="C9" s="5"/>
      <c r="D9" s="7" t="s">
        <v>10</v>
      </c>
      <c r="E9" s="8" t="s">
        <v>11</v>
      </c>
      <c r="F9" s="7" t="s">
        <v>12</v>
      </c>
      <c r="G9" s="7" t="s">
        <v>13</v>
      </c>
      <c r="H9" s="7" t="s">
        <v>14</v>
      </c>
      <c r="I9" s="6"/>
    </row>
    <row r="10" spans="2:16" x14ac:dyDescent="0.25">
      <c r="B10" s="9" t="s">
        <v>15</v>
      </c>
      <c r="C10" s="10"/>
      <c r="D10" s="11">
        <f t="shared" ref="D10:I10" si="0">+D11+D19+D29+D39+D49+D59+D63+D72+D76</f>
        <v>191498771.69</v>
      </c>
      <c r="E10" s="11">
        <f t="shared" si="0"/>
        <v>1779373.9041600002</v>
      </c>
      <c r="F10" s="11">
        <f t="shared" si="0"/>
        <v>193278145.59415999</v>
      </c>
      <c r="G10" s="11">
        <f t="shared" si="0"/>
        <v>136319189.25753999</v>
      </c>
      <c r="H10" s="11">
        <f t="shared" si="0"/>
        <v>133124206.65368</v>
      </c>
      <c r="I10" s="11">
        <f t="shared" si="0"/>
        <v>56958956.336619996</v>
      </c>
      <c r="K10" s="2"/>
      <c r="L10" s="2"/>
      <c r="M10" s="2"/>
      <c r="N10" s="2"/>
      <c r="O10" s="2"/>
      <c r="P10" s="2"/>
    </row>
    <row r="11" spans="2:16" x14ac:dyDescent="0.25">
      <c r="B11" s="12" t="s">
        <v>16</v>
      </c>
      <c r="C11" s="13"/>
      <c r="D11" s="14">
        <f>SUM(D12:D18)</f>
        <v>56026847.799999997</v>
      </c>
      <c r="E11" s="14">
        <f>SUM(E12:E18)</f>
        <v>202470.43580000001</v>
      </c>
      <c r="F11" s="14">
        <f>SUM(F12:F18)</f>
        <v>56229318.235799998</v>
      </c>
      <c r="G11" s="14">
        <f>SUM(G12:G18)</f>
        <v>36374678.425909996</v>
      </c>
      <c r="H11" s="14">
        <f>SUM(H12:H18)</f>
        <v>36374678.425909996</v>
      </c>
      <c r="I11" s="14">
        <f t="shared" ref="I11:I18" si="1">+F11-G11</f>
        <v>19854639.809890002</v>
      </c>
      <c r="L11" s="15"/>
      <c r="M11" s="15"/>
    </row>
    <row r="12" spans="2:16" ht="10.5" customHeight="1" x14ac:dyDescent="0.25">
      <c r="B12" s="16"/>
      <c r="C12" s="17" t="s">
        <v>17</v>
      </c>
      <c r="D12" s="18">
        <f>28230156-D89</f>
        <v>20498100.399999999</v>
      </c>
      <c r="E12" s="19">
        <f>-85815.69524-E89</f>
        <v>-88964.689240000007</v>
      </c>
      <c r="F12" s="19">
        <f t="shared" ref="F12:F18" si="2">+D12+E12</f>
        <v>20409135.710759997</v>
      </c>
      <c r="G12" s="19">
        <f>20121558.43054-G89</f>
        <v>12451629.834379999</v>
      </c>
      <c r="H12" s="19">
        <f>20121558.43054-H89</f>
        <v>12451629.834379999</v>
      </c>
      <c r="I12" s="19">
        <f t="shared" si="1"/>
        <v>7957505.8763799984</v>
      </c>
      <c r="K12" s="2"/>
    </row>
    <row r="13" spans="2:16" ht="10.5" customHeight="1" x14ac:dyDescent="0.25">
      <c r="B13" s="16"/>
      <c r="C13" s="17" t="s">
        <v>18</v>
      </c>
      <c r="D13" s="18">
        <f>521264-D90</f>
        <v>521264</v>
      </c>
      <c r="E13" s="19">
        <v>245659.8371</v>
      </c>
      <c r="F13" s="19">
        <f t="shared" si="2"/>
        <v>766923.8371</v>
      </c>
      <c r="G13" s="19">
        <v>240824.05786</v>
      </c>
      <c r="H13" s="19">
        <v>240824.05786</v>
      </c>
      <c r="I13" s="19">
        <f t="shared" si="1"/>
        <v>526099.77924000006</v>
      </c>
      <c r="K13" s="2"/>
    </row>
    <row r="14" spans="2:16" ht="10.5" customHeight="1" x14ac:dyDescent="0.25">
      <c r="B14" s="16"/>
      <c r="C14" s="17" t="s">
        <v>19</v>
      </c>
      <c r="D14" s="18">
        <f>20377581.4-D91</f>
        <v>18489230.899999999</v>
      </c>
      <c r="E14" s="19">
        <f>16242.32527-E91</f>
        <v>15408.565269999999</v>
      </c>
      <c r="F14" s="19">
        <f t="shared" si="2"/>
        <v>18504639.465269998</v>
      </c>
      <c r="G14" s="19">
        <f>13276912.90812-G91</f>
        <v>11983836.453120001</v>
      </c>
      <c r="H14" s="19">
        <f>13276912.90812-H91</f>
        <v>11983836.453120001</v>
      </c>
      <c r="I14" s="19">
        <f t="shared" si="1"/>
        <v>6520803.0121499971</v>
      </c>
      <c r="K14" s="2"/>
    </row>
    <row r="15" spans="2:16" ht="10.5" customHeight="1" x14ac:dyDescent="0.25">
      <c r="B15" s="16"/>
      <c r="C15" s="17" t="s">
        <v>20</v>
      </c>
      <c r="D15" s="18">
        <f>7367683.8-D92</f>
        <v>6745025.8999999994</v>
      </c>
      <c r="E15" s="19">
        <f>39185.89948-E92</f>
        <v>38461.389479999998</v>
      </c>
      <c r="F15" s="19">
        <f t="shared" si="2"/>
        <v>6783487.2894799998</v>
      </c>
      <c r="G15" s="19">
        <f>6502892.89007-G92</f>
        <v>5781913.9390699994</v>
      </c>
      <c r="H15" s="19">
        <f>6502892.89007-H92</f>
        <v>5781913.9390699994</v>
      </c>
      <c r="I15" s="19">
        <f t="shared" si="1"/>
        <v>1001573.3504100004</v>
      </c>
      <c r="K15" s="2"/>
    </row>
    <row r="16" spans="2:16" ht="10.5" customHeight="1" x14ac:dyDescent="0.25">
      <c r="B16" s="16"/>
      <c r="C16" s="17" t="s">
        <v>21</v>
      </c>
      <c r="D16" s="18">
        <f>10764782.7-D93</f>
        <v>9479398</v>
      </c>
      <c r="E16" s="19">
        <f>+-2901.86146-E93</f>
        <v>-3125.2414600000002</v>
      </c>
      <c r="F16" s="19">
        <f t="shared" si="2"/>
        <v>9476272.7585400008</v>
      </c>
      <c r="G16" s="19">
        <f>6319937.00895-G93</f>
        <v>5801738.36895</v>
      </c>
      <c r="H16" s="19">
        <f>6319937.00895-H93</f>
        <v>5801738.36895</v>
      </c>
      <c r="I16" s="19">
        <f t="shared" si="1"/>
        <v>3674534.3895900007</v>
      </c>
      <c r="K16" s="2"/>
    </row>
    <row r="17" spans="2:11" ht="10.5" customHeight="1" x14ac:dyDescent="0.25">
      <c r="B17" s="16"/>
      <c r="C17" s="17" t="s">
        <v>22</v>
      </c>
      <c r="D17" s="18">
        <f>0-D94</f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1"/>
        <v>0</v>
      </c>
      <c r="K17" s="2"/>
    </row>
    <row r="18" spans="2:11" ht="10.5" customHeight="1" x14ac:dyDescent="0.25">
      <c r="B18" s="16"/>
      <c r="C18" s="17" t="s">
        <v>23</v>
      </c>
      <c r="D18" s="18">
        <f>293828.6-D95</f>
        <v>293828.59999999998</v>
      </c>
      <c r="E18" s="19">
        <v>-4969.4253499999995</v>
      </c>
      <c r="F18" s="19">
        <f t="shared" si="2"/>
        <v>288859.17465</v>
      </c>
      <c r="G18" s="19">
        <v>114735.77253</v>
      </c>
      <c r="H18" s="19">
        <v>114735.77253</v>
      </c>
      <c r="I18" s="19">
        <f t="shared" si="1"/>
        <v>174123.40211999998</v>
      </c>
      <c r="K18" s="2"/>
    </row>
    <row r="19" spans="2:11" x14ac:dyDescent="0.25">
      <c r="B19" s="12" t="s">
        <v>24</v>
      </c>
      <c r="C19" s="13"/>
      <c r="D19" s="14">
        <f t="shared" ref="D19:I19" si="3">SUM(D20:D28)</f>
        <v>2529292.0699999998</v>
      </c>
      <c r="E19" s="14">
        <f t="shared" si="3"/>
        <v>-80499.269059999991</v>
      </c>
      <c r="F19" s="14">
        <f t="shared" si="3"/>
        <v>2448792.80094</v>
      </c>
      <c r="G19" s="14">
        <f t="shared" si="3"/>
        <v>1356199.58026</v>
      </c>
      <c r="H19" s="14">
        <f t="shared" si="3"/>
        <v>1353385.2961700002</v>
      </c>
      <c r="I19" s="14">
        <f t="shared" si="3"/>
        <v>1092593.2206799998</v>
      </c>
      <c r="K19" s="2"/>
    </row>
    <row r="20" spans="2:11" ht="10.5" customHeight="1" x14ac:dyDescent="0.25">
      <c r="B20" s="16"/>
      <c r="C20" s="17" t="s">
        <v>25</v>
      </c>
      <c r="D20" s="18">
        <f>370594.4-D97</f>
        <v>369608.9</v>
      </c>
      <c r="E20" s="19">
        <f>+-99655.42799-E97</f>
        <v>-114627.89851999999</v>
      </c>
      <c r="F20" s="19">
        <f t="shared" ref="F20:F28" si="4">+D20+E20</f>
        <v>254981.00148000004</v>
      </c>
      <c r="G20" s="19">
        <f>104866.99614-G97</f>
        <v>89894.525610000012</v>
      </c>
      <c r="H20" s="19">
        <f>103243.48978-H97</f>
        <v>88271.019250000012</v>
      </c>
      <c r="I20" s="19">
        <f t="shared" ref="I20:I28" si="5">+F20-G20</f>
        <v>165086.47587000002</v>
      </c>
      <c r="K20" s="2"/>
    </row>
    <row r="21" spans="2:11" ht="10.5" customHeight="1" x14ac:dyDescent="0.25">
      <c r="B21" s="16"/>
      <c r="C21" s="17" t="s">
        <v>26</v>
      </c>
      <c r="D21" s="18">
        <f>1388430.9-D98</f>
        <v>1388186.4</v>
      </c>
      <c r="E21" s="19">
        <v>11413.38767</v>
      </c>
      <c r="F21" s="19">
        <f t="shared" si="4"/>
        <v>1399599.78767</v>
      </c>
      <c r="G21" s="19">
        <f>908696.73345-G98</f>
        <v>908680.87565000006</v>
      </c>
      <c r="H21" s="19">
        <f>908484.8151-H98</f>
        <v>908468.95730000001</v>
      </c>
      <c r="I21" s="19">
        <f t="shared" si="5"/>
        <v>490918.91201999993</v>
      </c>
      <c r="K21" s="2"/>
    </row>
    <row r="22" spans="2:11" ht="10.5" customHeight="1" x14ac:dyDescent="0.25">
      <c r="B22" s="16"/>
      <c r="C22" s="17" t="s">
        <v>27</v>
      </c>
      <c r="D22" s="18">
        <f>206.9-D99</f>
        <v>206.9</v>
      </c>
      <c r="E22" s="19">
        <v>1138.5056500000001</v>
      </c>
      <c r="F22" s="19">
        <f t="shared" si="4"/>
        <v>1345.4056500000002</v>
      </c>
      <c r="G22" s="19">
        <v>678.90147999999999</v>
      </c>
      <c r="H22" s="19">
        <v>678.90147999999999</v>
      </c>
      <c r="I22" s="19">
        <f>+F22-G22</f>
        <v>666.50417000000016</v>
      </c>
      <c r="K22" s="2"/>
    </row>
    <row r="23" spans="2:11" ht="10.5" customHeight="1" x14ac:dyDescent="0.25">
      <c r="B23" s="16"/>
      <c r="C23" s="17" t="s">
        <v>28</v>
      </c>
      <c r="D23" s="18">
        <f>59710-D100</f>
        <v>59706</v>
      </c>
      <c r="E23" s="19">
        <f>15316.1428-E100</f>
        <v>15265.459939999999</v>
      </c>
      <c r="F23" s="19">
        <f t="shared" si="4"/>
        <v>74971.459940000001</v>
      </c>
      <c r="G23" s="19">
        <f>43096.05617-G100</f>
        <v>43045.373310000003</v>
      </c>
      <c r="H23" s="19">
        <f>43025.63408-H100</f>
        <v>42974.951220000003</v>
      </c>
      <c r="I23" s="19">
        <f t="shared" si="5"/>
        <v>31926.086629999998</v>
      </c>
      <c r="K23" s="2"/>
    </row>
    <row r="24" spans="2:11" ht="10.5" customHeight="1" x14ac:dyDescent="0.25">
      <c r="B24" s="16"/>
      <c r="C24" s="17" t="s">
        <v>29</v>
      </c>
      <c r="D24" s="18">
        <f>34947.5-D101</f>
        <v>34857.57</v>
      </c>
      <c r="E24" s="19">
        <v>15878.155629999999</v>
      </c>
      <c r="F24" s="19">
        <f t="shared" si="4"/>
        <v>50735.725630000001</v>
      </c>
      <c r="G24" s="19">
        <v>12923.169610000001</v>
      </c>
      <c r="H24" s="19">
        <v>12871.66793</v>
      </c>
      <c r="I24" s="19">
        <f t="shared" si="5"/>
        <v>37812.556020000004</v>
      </c>
      <c r="K24" s="2"/>
    </row>
    <row r="25" spans="2:11" ht="10.5" customHeight="1" x14ac:dyDescent="0.25">
      <c r="B25" s="16"/>
      <c r="C25" s="17" t="s">
        <v>30</v>
      </c>
      <c r="D25" s="18">
        <f>452315.1-D102</f>
        <v>452315.1</v>
      </c>
      <c r="E25" s="19">
        <f>6985.77111-E102</f>
        <v>5955.8277099999996</v>
      </c>
      <c r="F25" s="19">
        <f t="shared" si="4"/>
        <v>458270.92770999996</v>
      </c>
      <c r="G25" s="19">
        <f>265290.47219-G102</f>
        <v>264260.52879000001</v>
      </c>
      <c r="H25" s="19">
        <f>264512.2423-H102</f>
        <v>263482.29889999999</v>
      </c>
      <c r="I25" s="19">
        <f t="shared" si="5"/>
        <v>194010.39891999995</v>
      </c>
      <c r="K25" s="2"/>
    </row>
    <row r="26" spans="2:11" ht="10.5" customHeight="1" x14ac:dyDescent="0.25">
      <c r="B26" s="16"/>
      <c r="C26" s="17" t="s">
        <v>31</v>
      </c>
      <c r="D26" s="18">
        <f>109798.1-D103</f>
        <v>109305.40000000001</v>
      </c>
      <c r="E26" s="19">
        <v>9284.3477600000006</v>
      </c>
      <c r="F26" s="19">
        <f t="shared" si="4"/>
        <v>118589.74776000001</v>
      </c>
      <c r="G26" s="19">
        <v>18079.335360000001</v>
      </c>
      <c r="H26" s="19">
        <v>18063.95752</v>
      </c>
      <c r="I26" s="19">
        <f t="shared" si="5"/>
        <v>100510.41240000002</v>
      </c>
      <c r="K26" s="2"/>
    </row>
    <row r="27" spans="2:11" ht="10.5" customHeight="1" x14ac:dyDescent="0.25">
      <c r="B27" s="16"/>
      <c r="C27" s="17" t="s">
        <v>32</v>
      </c>
      <c r="D27" s="18">
        <f>80148.7-D104</f>
        <v>80148.7</v>
      </c>
      <c r="E27" s="19">
        <v>-40844.09203</v>
      </c>
      <c r="F27" s="19">
        <f t="shared" si="4"/>
        <v>39304.607969999997</v>
      </c>
      <c r="G27" s="19">
        <v>69.445250000000001</v>
      </c>
      <c r="H27" s="19">
        <v>69.445250000000001</v>
      </c>
      <c r="I27" s="19">
        <f t="shared" si="5"/>
        <v>39235.16272</v>
      </c>
      <c r="K27" s="2"/>
    </row>
    <row r="28" spans="2:11" ht="10.5" customHeight="1" x14ac:dyDescent="0.25">
      <c r="B28" s="16"/>
      <c r="C28" s="17" t="s">
        <v>33</v>
      </c>
      <c r="D28" s="18">
        <f>34957.1-D105</f>
        <v>34957.1</v>
      </c>
      <c r="E28" s="19">
        <v>16037.037129999999</v>
      </c>
      <c r="F28" s="19">
        <f t="shared" si="4"/>
        <v>50994.137129999996</v>
      </c>
      <c r="G28" s="19">
        <v>18567.425199999998</v>
      </c>
      <c r="H28" s="19">
        <v>18504.097320000001</v>
      </c>
      <c r="I28" s="19">
        <f t="shared" si="5"/>
        <v>32426.711929999998</v>
      </c>
      <c r="K28" s="2"/>
    </row>
    <row r="29" spans="2:11" x14ac:dyDescent="0.25">
      <c r="B29" s="12" t="s">
        <v>34</v>
      </c>
      <c r="C29" s="13"/>
      <c r="D29" s="14">
        <f t="shared" ref="D29:I29" si="6">SUM(D30:D38)</f>
        <v>10752123.5</v>
      </c>
      <c r="E29" s="14">
        <f t="shared" si="6"/>
        <v>1346972.6470900001</v>
      </c>
      <c r="F29" s="14">
        <f t="shared" si="6"/>
        <v>12099096.147090001</v>
      </c>
      <c r="G29" s="14">
        <f t="shared" si="6"/>
        <v>5274798.8205300011</v>
      </c>
      <c r="H29" s="14">
        <f t="shared" si="6"/>
        <v>5255891.721020001</v>
      </c>
      <c r="I29" s="14">
        <f t="shared" si="6"/>
        <v>6824297.32656</v>
      </c>
    </row>
    <row r="30" spans="2:11" ht="10.5" customHeight="1" x14ac:dyDescent="0.25">
      <c r="B30" s="16"/>
      <c r="C30" s="17" t="s">
        <v>35</v>
      </c>
      <c r="D30" s="18">
        <f>688211.4-D107</f>
        <v>688201.1</v>
      </c>
      <c r="E30" s="19">
        <v>62554.922269999995</v>
      </c>
      <c r="F30" s="19">
        <f t="shared" ref="F30:F38" si="7">+D30+E30</f>
        <v>750756.02226999996</v>
      </c>
      <c r="G30" s="19">
        <v>503029.95444999996</v>
      </c>
      <c r="H30" s="19">
        <v>500195.64432999998</v>
      </c>
      <c r="I30" s="19">
        <f t="shared" ref="I30:I38" si="8">+F30-G30</f>
        <v>247726.06782</v>
      </c>
      <c r="K30" s="2"/>
    </row>
    <row r="31" spans="2:11" ht="10.5" customHeight="1" x14ac:dyDescent="0.25">
      <c r="B31" s="16"/>
      <c r="C31" s="17" t="s">
        <v>36</v>
      </c>
      <c r="D31" s="18">
        <f>1480051.4-D108</f>
        <v>1479961.4</v>
      </c>
      <c r="E31" s="19">
        <v>33461.852800000001</v>
      </c>
      <c r="F31" s="19">
        <f>+D31+E31</f>
        <v>1513423.2527999999</v>
      </c>
      <c r="G31" s="19">
        <v>953263.38326999999</v>
      </c>
      <c r="H31" s="19">
        <v>948045.28586000006</v>
      </c>
      <c r="I31" s="19">
        <f t="shared" si="8"/>
        <v>560159.86952999991</v>
      </c>
      <c r="K31" s="2"/>
    </row>
    <row r="32" spans="2:11" ht="10.5" customHeight="1" x14ac:dyDescent="0.25">
      <c r="B32" s="16"/>
      <c r="C32" s="17" t="s">
        <v>37</v>
      </c>
      <c r="D32" s="18">
        <f>2772313.4-D109</f>
        <v>2745452.9</v>
      </c>
      <c r="E32" s="19">
        <f>868728.54657-E109</f>
        <v>821645.94165000005</v>
      </c>
      <c r="F32" s="19">
        <f t="shared" si="7"/>
        <v>3567098.8416499998</v>
      </c>
      <c r="G32" s="19">
        <f>1445047.77553-G109</f>
        <v>1351063.3299100001</v>
      </c>
      <c r="H32" s="19">
        <f>1438311.17884-H109</f>
        <v>1344326.7332200001</v>
      </c>
      <c r="I32" s="19">
        <f t="shared" si="8"/>
        <v>2216035.51174</v>
      </c>
      <c r="K32" s="2"/>
    </row>
    <row r="33" spans="2:11" ht="10.5" customHeight="1" x14ac:dyDescent="0.25">
      <c r="B33" s="16"/>
      <c r="C33" s="17" t="s">
        <v>38</v>
      </c>
      <c r="D33" s="18">
        <f>770994.5-D110</f>
        <v>770994.5</v>
      </c>
      <c r="E33" s="19">
        <v>166088.23458999998</v>
      </c>
      <c r="F33" s="19">
        <f t="shared" si="7"/>
        <v>937082.73459000001</v>
      </c>
      <c r="G33" s="19">
        <v>522947.52669999999</v>
      </c>
      <c r="H33" s="19">
        <v>521987.55092000001</v>
      </c>
      <c r="I33" s="19">
        <f t="shared" si="8"/>
        <v>414135.20789000002</v>
      </c>
      <c r="K33" s="2"/>
    </row>
    <row r="34" spans="2:11" ht="10.5" customHeight="1" x14ac:dyDescent="0.25">
      <c r="B34" s="16"/>
      <c r="C34" s="17" t="s">
        <v>39</v>
      </c>
      <c r="D34" s="18">
        <f>932074.1-D111</f>
        <v>932074.1</v>
      </c>
      <c r="E34" s="19">
        <v>88664.918950000007</v>
      </c>
      <c r="F34" s="19">
        <f t="shared" si="7"/>
        <v>1020739.0189499999</v>
      </c>
      <c r="G34" s="19">
        <v>1031333.67639</v>
      </c>
      <c r="H34" s="19">
        <v>1028551.35477</v>
      </c>
      <c r="I34" s="19">
        <f t="shared" si="8"/>
        <v>-10594.657440000097</v>
      </c>
      <c r="K34" s="2"/>
    </row>
    <row r="35" spans="2:11" ht="10.5" customHeight="1" x14ac:dyDescent="0.25">
      <c r="B35" s="16"/>
      <c r="C35" s="17" t="s">
        <v>40</v>
      </c>
      <c r="D35" s="18">
        <f>365593.1-D112</f>
        <v>365593.1</v>
      </c>
      <c r="E35" s="19">
        <f>409060.05722-E112</f>
        <v>409033.05722000002</v>
      </c>
      <c r="F35" s="19">
        <f t="shared" si="7"/>
        <v>774626.15721999994</v>
      </c>
      <c r="G35" s="19">
        <f>207260.4121-G112</f>
        <v>207233.41209999999</v>
      </c>
      <c r="H35" s="19">
        <f>207246.1621-H112</f>
        <v>207219.16209999999</v>
      </c>
      <c r="I35" s="19">
        <f t="shared" si="8"/>
        <v>567392.74511999998</v>
      </c>
      <c r="K35" s="2"/>
    </row>
    <row r="36" spans="2:11" ht="10.5" customHeight="1" x14ac:dyDescent="0.25">
      <c r="B36" s="16"/>
      <c r="C36" s="17" t="s">
        <v>41</v>
      </c>
      <c r="D36" s="18">
        <f>36991.8-D113</f>
        <v>36974.800000000003</v>
      </c>
      <c r="E36" s="19">
        <v>4872.4409999999998</v>
      </c>
      <c r="F36" s="19">
        <f t="shared" si="7"/>
        <v>41847.241000000002</v>
      </c>
      <c r="G36" s="19">
        <f>18333.66363-G113</f>
        <v>18319.56783</v>
      </c>
      <c r="H36" s="19">
        <f>18129.83056-H113</f>
        <v>18115.734759999999</v>
      </c>
      <c r="I36" s="19">
        <f t="shared" si="8"/>
        <v>23527.673170000002</v>
      </c>
      <c r="K36" s="2"/>
    </row>
    <row r="37" spans="2:11" ht="10.5" customHeight="1" x14ac:dyDescent="0.25">
      <c r="B37" s="16"/>
      <c r="C37" s="17" t="s">
        <v>42</v>
      </c>
      <c r="D37" s="18">
        <f>193017.6-D114</f>
        <v>193017.60000000001</v>
      </c>
      <c r="E37" s="19">
        <f>+-10040.28384-E114</f>
        <v>-10727.786840000001</v>
      </c>
      <c r="F37" s="19">
        <f t="shared" si="7"/>
        <v>182289.81316000002</v>
      </c>
      <c r="G37" s="19">
        <f>76731.02238-G114</f>
        <v>75365.933980000002</v>
      </c>
      <c r="H37" s="19">
        <f>76731.02238-H114</f>
        <v>75365.933980000002</v>
      </c>
      <c r="I37" s="19">
        <f t="shared" si="8"/>
        <v>106923.87918000002</v>
      </c>
      <c r="K37" s="2"/>
    </row>
    <row r="38" spans="2:11" ht="10.5" customHeight="1" x14ac:dyDescent="0.25">
      <c r="B38" s="16"/>
      <c r="C38" s="17" t="s">
        <v>43</v>
      </c>
      <c r="D38" s="18">
        <f>3539854-D115</f>
        <v>3539854</v>
      </c>
      <c r="E38" s="19">
        <v>-228620.93455000001</v>
      </c>
      <c r="F38" s="19">
        <f t="shared" si="7"/>
        <v>3311233.0654500001</v>
      </c>
      <c r="G38" s="19">
        <v>612242.03590000013</v>
      </c>
      <c r="H38" s="19">
        <v>612084.32108000002</v>
      </c>
      <c r="I38" s="19">
        <f t="shared" si="8"/>
        <v>2698991.0295500001</v>
      </c>
      <c r="K38" s="2"/>
    </row>
    <row r="39" spans="2:11" x14ac:dyDescent="0.25">
      <c r="B39" s="12" t="s">
        <v>44</v>
      </c>
      <c r="C39" s="13"/>
      <c r="D39" s="14">
        <f t="shared" ref="D39:I39" si="9">SUM(D40:D48)</f>
        <v>65881124.600000001</v>
      </c>
      <c r="E39" s="14">
        <f t="shared" si="9"/>
        <v>171804.54603000003</v>
      </c>
      <c r="F39" s="14">
        <f t="shared" si="9"/>
        <v>66052929.146030009</v>
      </c>
      <c r="G39" s="14">
        <f t="shared" si="9"/>
        <v>41878822.50214</v>
      </c>
      <c r="H39" s="14">
        <f t="shared" si="9"/>
        <v>41811366.588639997</v>
      </c>
      <c r="I39" s="14">
        <f t="shared" si="9"/>
        <v>24174106.643890001</v>
      </c>
    </row>
    <row r="40" spans="2:11" ht="10.5" customHeight="1" x14ac:dyDescent="0.25">
      <c r="B40" s="16"/>
      <c r="C40" s="17" t="s">
        <v>45</v>
      </c>
      <c r="D40" s="18">
        <f>18586034-D117</f>
        <v>18586034</v>
      </c>
      <c r="E40" s="19">
        <v>0</v>
      </c>
      <c r="F40" s="19">
        <f t="shared" ref="F40:F48" si="10">+D40+E40</f>
        <v>18586034</v>
      </c>
      <c r="G40" s="19">
        <f>13080094.89653-G117</f>
        <v>11445390.95253</v>
      </c>
      <c r="H40" s="19">
        <f>13013070.13071-H117</f>
        <v>11378366.18671</v>
      </c>
      <c r="I40" s="19">
        <f t="shared" ref="I40:I58" si="11">+F40-G40</f>
        <v>7140643.0474699996</v>
      </c>
      <c r="K40" s="2"/>
    </row>
    <row r="41" spans="2:11" ht="10.5" customHeight="1" x14ac:dyDescent="0.25">
      <c r="B41" s="16"/>
      <c r="C41" s="17" t="s">
        <v>46</v>
      </c>
      <c r="D41" s="18">
        <f>0-D118</f>
        <v>0</v>
      </c>
      <c r="E41" s="19">
        <v>0</v>
      </c>
      <c r="F41" s="19">
        <f t="shared" si="10"/>
        <v>0</v>
      </c>
      <c r="G41" s="19">
        <v>0</v>
      </c>
      <c r="H41" s="19">
        <v>0</v>
      </c>
      <c r="I41" s="19">
        <f t="shared" si="11"/>
        <v>0</v>
      </c>
      <c r="K41" s="2"/>
    </row>
    <row r="42" spans="2:11" ht="10.5" customHeight="1" x14ac:dyDescent="0.25">
      <c r="B42" s="16"/>
      <c r="C42" s="17" t="s">
        <v>47</v>
      </c>
      <c r="D42" s="18">
        <f>6532163.8-D119</f>
        <v>6531556.5</v>
      </c>
      <c r="E42" s="19">
        <v>130623.07077999999</v>
      </c>
      <c r="F42" s="19">
        <f t="shared" si="10"/>
        <v>6662179.5707799997</v>
      </c>
      <c r="G42" s="19">
        <v>5744283.9446200002</v>
      </c>
      <c r="H42" s="19">
        <v>5744283.9446200002</v>
      </c>
      <c r="I42" s="19">
        <f t="shared" si="11"/>
        <v>917895.62615999952</v>
      </c>
      <c r="K42" s="2"/>
    </row>
    <row r="43" spans="2:11" ht="10.5" customHeight="1" x14ac:dyDescent="0.25">
      <c r="B43" s="16"/>
      <c r="C43" s="17" t="s">
        <v>48</v>
      </c>
      <c r="D43" s="18">
        <f>12235947.2-D120</f>
        <v>12235477.799999999</v>
      </c>
      <c r="E43" s="19">
        <f>+-262009.01409-E120</f>
        <v>-333298.60409000004</v>
      </c>
      <c r="F43" s="19">
        <f t="shared" si="10"/>
        <v>11902179.195909999</v>
      </c>
      <c r="G43" s="19">
        <f>5680382.59018-G120</f>
        <v>5609093.0001800004</v>
      </c>
      <c r="H43" s="19">
        <f>5680336.39618-H120</f>
        <v>5609046.8061800003</v>
      </c>
      <c r="I43" s="19">
        <f t="shared" si="11"/>
        <v>6293086.1957299989</v>
      </c>
      <c r="K43" s="2"/>
    </row>
    <row r="44" spans="2:11" ht="10.5" customHeight="1" x14ac:dyDescent="0.25">
      <c r="B44" s="16"/>
      <c r="C44" s="17" t="s">
        <v>49</v>
      </c>
      <c r="D44" s="18">
        <f>19943.8-D121</f>
        <v>19943.8</v>
      </c>
      <c r="E44" s="19">
        <v>-7470.3191500000003</v>
      </c>
      <c r="F44" s="19">
        <f t="shared" si="10"/>
        <v>12473.48085</v>
      </c>
      <c r="G44" s="19">
        <v>3804.1616100000001</v>
      </c>
      <c r="H44" s="19">
        <v>3419.20793</v>
      </c>
      <c r="I44" s="19">
        <f t="shared" si="11"/>
        <v>8669.3192400000007</v>
      </c>
      <c r="K44" s="2"/>
    </row>
    <row r="45" spans="2:11" ht="10.5" customHeight="1" x14ac:dyDescent="0.25">
      <c r="B45" s="16"/>
      <c r="C45" s="17" t="s">
        <v>50</v>
      </c>
      <c r="D45" s="18">
        <f>87180930.9-D122</f>
        <v>28394285.200000003</v>
      </c>
      <c r="E45" s="19">
        <v>332739.69022000005</v>
      </c>
      <c r="F45" s="19">
        <f t="shared" si="10"/>
        <v>28727024.890220001</v>
      </c>
      <c r="G45" s="19">
        <f>58651678.24474-G122</f>
        <v>18986450.416199997</v>
      </c>
      <c r="H45" s="19">
        <f>58651678.24474-H122</f>
        <v>18986450.416199997</v>
      </c>
      <c r="I45" s="19">
        <f t="shared" si="11"/>
        <v>9740574.4740200043</v>
      </c>
      <c r="K45" s="2"/>
    </row>
    <row r="46" spans="2:11" ht="10.5" customHeight="1" x14ac:dyDescent="0.25">
      <c r="B46" s="16"/>
      <c r="C46" s="17" t="s">
        <v>51</v>
      </c>
      <c r="D46" s="18">
        <f>0-D123</f>
        <v>0</v>
      </c>
      <c r="E46" s="19">
        <v>0</v>
      </c>
      <c r="F46" s="19">
        <f t="shared" si="10"/>
        <v>0</v>
      </c>
      <c r="G46" s="19">
        <v>0</v>
      </c>
      <c r="H46" s="19">
        <v>0</v>
      </c>
      <c r="I46" s="19">
        <f t="shared" si="11"/>
        <v>0</v>
      </c>
      <c r="K46" s="2"/>
    </row>
    <row r="47" spans="2:11" ht="10.5" customHeight="1" x14ac:dyDescent="0.25">
      <c r="B47" s="16"/>
      <c r="C47" s="17" t="s">
        <v>52</v>
      </c>
      <c r="D47" s="18">
        <f>111791.6-D124</f>
        <v>111791.6</v>
      </c>
      <c r="E47" s="19">
        <v>49210.708269999996</v>
      </c>
      <c r="F47" s="19">
        <f t="shared" si="10"/>
        <v>161002.30827000001</v>
      </c>
      <c r="G47" s="19">
        <v>89800.027000000002</v>
      </c>
      <c r="H47" s="19">
        <v>89800.027000000002</v>
      </c>
      <c r="I47" s="19">
        <f t="shared" si="11"/>
        <v>71202.281270000007</v>
      </c>
      <c r="K47" s="2"/>
    </row>
    <row r="48" spans="2:11" ht="10.5" customHeight="1" x14ac:dyDescent="0.25">
      <c r="B48" s="16"/>
      <c r="C48" s="17" t="s">
        <v>53</v>
      </c>
      <c r="D48" s="18">
        <f>2035.7-D125</f>
        <v>2035.7</v>
      </c>
      <c r="E48" s="19">
        <v>0</v>
      </c>
      <c r="F48" s="19">
        <f t="shared" si="10"/>
        <v>2035.7</v>
      </c>
      <c r="G48" s="19">
        <v>0</v>
      </c>
      <c r="H48" s="19">
        <v>0</v>
      </c>
      <c r="I48" s="19">
        <f t="shared" si="11"/>
        <v>2035.7</v>
      </c>
      <c r="K48" s="2"/>
    </row>
    <row r="49" spans="2:11" x14ac:dyDescent="0.25">
      <c r="B49" s="12" t="s">
        <v>54</v>
      </c>
      <c r="C49" s="13"/>
      <c r="D49" s="14">
        <f>SUM(D50:D58)</f>
        <v>83730.58</v>
      </c>
      <c r="E49" s="14">
        <f>SUM(E50:E58)</f>
        <v>138625.54429999998</v>
      </c>
      <c r="F49" s="14">
        <f>SUM(F50:F58)</f>
        <v>222356.1243</v>
      </c>
      <c r="G49" s="14">
        <f>SUM(G50:G58)</f>
        <v>2192.46002</v>
      </c>
      <c r="H49" s="14">
        <f>SUM(H50:H58)</f>
        <v>2192.46002</v>
      </c>
      <c r="I49" s="14">
        <f t="shared" si="11"/>
        <v>220163.66428</v>
      </c>
    </row>
    <row r="50" spans="2:11" ht="10.5" customHeight="1" x14ac:dyDescent="0.25">
      <c r="B50" s="16"/>
      <c r="C50" s="17" t="s">
        <v>55</v>
      </c>
      <c r="D50" s="18">
        <f>70174.1-D127</f>
        <v>69074.58</v>
      </c>
      <c r="E50" s="19">
        <f>90262.48797-E127</f>
        <v>85469.216159999996</v>
      </c>
      <c r="F50" s="19">
        <f t="shared" ref="F50:F58" si="12">+D50+E50</f>
        <v>154543.79616</v>
      </c>
      <c r="G50" s="19">
        <f>1470.62129-G127</f>
        <v>1470.62129</v>
      </c>
      <c r="H50" s="19">
        <v>1470.62129</v>
      </c>
      <c r="I50" s="19">
        <f t="shared" si="11"/>
        <v>153073.17486999999</v>
      </c>
      <c r="K50" s="2"/>
    </row>
    <row r="51" spans="2:11" ht="10.5" customHeight="1" x14ac:dyDescent="0.25">
      <c r="B51" s="16"/>
      <c r="C51" s="17" t="s">
        <v>56</v>
      </c>
      <c r="D51" s="18">
        <f>194-D128</f>
        <v>180</v>
      </c>
      <c r="E51" s="19">
        <v>2250.4304299999999</v>
      </c>
      <c r="F51" s="19">
        <f t="shared" si="12"/>
        <v>2430.4304299999999</v>
      </c>
      <c r="G51" s="19">
        <v>721.83872999999994</v>
      </c>
      <c r="H51" s="19">
        <v>721.83872999999994</v>
      </c>
      <c r="I51" s="19">
        <f t="shared" si="11"/>
        <v>1708.5916999999999</v>
      </c>
      <c r="K51" s="2"/>
    </row>
    <row r="52" spans="2:11" ht="10.5" customHeight="1" x14ac:dyDescent="0.25">
      <c r="B52" s="16"/>
      <c r="C52" s="17" t="s">
        <v>57</v>
      </c>
      <c r="D52" s="18">
        <f>30.4-D129</f>
        <v>0</v>
      </c>
      <c r="E52" s="19">
        <v>637.92558000000008</v>
      </c>
      <c r="F52" s="19">
        <f t="shared" si="12"/>
        <v>637.92558000000008</v>
      </c>
      <c r="G52" s="19">
        <v>0</v>
      </c>
      <c r="H52" s="19">
        <v>0</v>
      </c>
      <c r="I52" s="19">
        <f t="shared" si="11"/>
        <v>637.92558000000008</v>
      </c>
      <c r="K52" s="2"/>
    </row>
    <row r="53" spans="2:11" ht="10.5" customHeight="1" x14ac:dyDescent="0.25">
      <c r="B53" s="16"/>
      <c r="C53" s="17" t="s">
        <v>58</v>
      </c>
      <c r="D53" s="18">
        <f>339.7-D130</f>
        <v>0</v>
      </c>
      <c r="E53" s="19">
        <v>18989.51441</v>
      </c>
      <c r="F53" s="19">
        <f t="shared" si="12"/>
        <v>18989.51441</v>
      </c>
      <c r="G53" s="19">
        <v>0</v>
      </c>
      <c r="H53" s="19">
        <v>0</v>
      </c>
      <c r="I53" s="19">
        <f t="shared" si="11"/>
        <v>18989.51441</v>
      </c>
      <c r="K53" s="2"/>
    </row>
    <row r="54" spans="2:11" ht="10.5" customHeight="1" x14ac:dyDescent="0.25">
      <c r="B54" s="16"/>
      <c r="C54" s="17" t="s">
        <v>59</v>
      </c>
      <c r="D54" s="18">
        <f>0-D131</f>
        <v>0</v>
      </c>
      <c r="E54" s="19">
        <v>0</v>
      </c>
      <c r="F54" s="19">
        <f t="shared" si="12"/>
        <v>0</v>
      </c>
      <c r="G54" s="19">
        <v>0</v>
      </c>
      <c r="H54" s="19">
        <v>0</v>
      </c>
      <c r="I54" s="19">
        <f t="shared" si="11"/>
        <v>0</v>
      </c>
      <c r="K54" s="2"/>
    </row>
    <row r="55" spans="2:11" ht="10.5" customHeight="1" x14ac:dyDescent="0.25">
      <c r="B55" s="16"/>
      <c r="C55" s="17" t="s">
        <v>60</v>
      </c>
      <c r="D55" s="18">
        <f>13414-D132</f>
        <v>13414</v>
      </c>
      <c r="E55" s="19">
        <v>26880.973190000001</v>
      </c>
      <c r="F55" s="19">
        <f>+D55+E55</f>
        <v>40294.973190000004</v>
      </c>
      <c r="G55" s="19">
        <v>0</v>
      </c>
      <c r="H55" s="19">
        <v>0</v>
      </c>
      <c r="I55" s="19">
        <f t="shared" si="11"/>
        <v>40294.973190000004</v>
      </c>
      <c r="K55" s="2"/>
    </row>
    <row r="56" spans="2:11" ht="10.5" customHeight="1" x14ac:dyDescent="0.25">
      <c r="B56" s="16"/>
      <c r="C56" s="17" t="s">
        <v>61</v>
      </c>
      <c r="D56" s="18">
        <f>0-D133</f>
        <v>0</v>
      </c>
      <c r="E56" s="19">
        <v>0</v>
      </c>
      <c r="F56" s="19">
        <f t="shared" si="12"/>
        <v>0</v>
      </c>
      <c r="G56" s="19">
        <v>0</v>
      </c>
      <c r="H56" s="19">
        <v>0</v>
      </c>
      <c r="I56" s="19">
        <f t="shared" si="11"/>
        <v>0</v>
      </c>
      <c r="K56" s="2"/>
    </row>
    <row r="57" spans="2:11" ht="10.5" customHeight="1" x14ac:dyDescent="0.25">
      <c r="B57" s="16"/>
      <c r="C57" s="17" t="s">
        <v>62</v>
      </c>
      <c r="D57" s="18">
        <f>0-D134</f>
        <v>0</v>
      </c>
      <c r="E57" s="19">
        <v>170</v>
      </c>
      <c r="F57" s="19">
        <f t="shared" si="12"/>
        <v>170</v>
      </c>
      <c r="G57" s="19">
        <v>0</v>
      </c>
      <c r="H57" s="19">
        <v>0</v>
      </c>
      <c r="I57" s="19">
        <f t="shared" si="11"/>
        <v>170</v>
      </c>
      <c r="K57" s="2"/>
    </row>
    <row r="58" spans="2:11" ht="10.5" customHeight="1" x14ac:dyDescent="0.25">
      <c r="B58" s="16"/>
      <c r="C58" s="17" t="s">
        <v>63</v>
      </c>
      <c r="D58" s="18">
        <f>1062-D135</f>
        <v>1062</v>
      </c>
      <c r="E58" s="19">
        <f>8541.46461-E135</f>
        <v>4227.4845300000006</v>
      </c>
      <c r="F58" s="19">
        <f t="shared" si="12"/>
        <v>5289.4845300000006</v>
      </c>
      <c r="G58" s="19">
        <v>0</v>
      </c>
      <c r="H58" s="19">
        <v>0</v>
      </c>
      <c r="I58" s="19">
        <f t="shared" si="11"/>
        <v>5289.4845300000006</v>
      </c>
      <c r="K58" s="2"/>
    </row>
    <row r="59" spans="2:11" x14ac:dyDescent="0.25">
      <c r="B59" s="12" t="s">
        <v>64</v>
      </c>
      <c r="C59" s="13"/>
      <c r="D59" s="14">
        <f t="shared" ref="D59:I59" si="13">SUM(D60:D62)</f>
        <v>12044395.799999999</v>
      </c>
      <c r="E59" s="14">
        <f t="shared" si="13"/>
        <v>0</v>
      </c>
      <c r="F59" s="14">
        <f t="shared" si="13"/>
        <v>12044395.799999999</v>
      </c>
      <c r="G59" s="14">
        <f t="shared" si="13"/>
        <v>10861431.56366</v>
      </c>
      <c r="H59" s="14">
        <f t="shared" si="13"/>
        <v>7839112.3269799994</v>
      </c>
      <c r="I59" s="14">
        <f t="shared" si="13"/>
        <v>1182964.2363399989</v>
      </c>
      <c r="K59" s="2"/>
    </row>
    <row r="60" spans="2:11" ht="10.5" customHeight="1" x14ac:dyDescent="0.25">
      <c r="B60" s="16"/>
      <c r="C60" s="17" t="s">
        <v>65</v>
      </c>
      <c r="D60" s="18">
        <f>16169624.1-D137</f>
        <v>11966722.699999999</v>
      </c>
      <c r="E60" s="19">
        <v>0</v>
      </c>
      <c r="F60" s="19">
        <f>+D60+E60</f>
        <v>11966722.699999999</v>
      </c>
      <c r="G60" s="19">
        <f>14227858.01954-G137</f>
        <v>10516036.49966</v>
      </c>
      <c r="H60" s="19">
        <f>11205538.78286-H137</f>
        <v>7493717.2629799992</v>
      </c>
      <c r="I60" s="19">
        <f>+F60-G60</f>
        <v>1450686.200339999</v>
      </c>
      <c r="K60" s="2"/>
    </row>
    <row r="61" spans="2:11" ht="10.5" customHeight="1" x14ac:dyDescent="0.25">
      <c r="B61" s="16"/>
      <c r="C61" s="17" t="s">
        <v>66</v>
      </c>
      <c r="D61" s="18">
        <f>0-D138</f>
        <v>0</v>
      </c>
      <c r="E61" s="19">
        <v>0</v>
      </c>
      <c r="F61" s="19">
        <f>+D61+E61</f>
        <v>0</v>
      </c>
      <c r="G61" s="19">
        <v>0</v>
      </c>
      <c r="H61" s="19">
        <v>0</v>
      </c>
      <c r="I61" s="19">
        <f>+F61-G61</f>
        <v>0</v>
      </c>
      <c r="K61" s="2"/>
    </row>
    <row r="62" spans="2:11" ht="10.5" customHeight="1" x14ac:dyDescent="0.25">
      <c r="B62" s="16"/>
      <c r="C62" s="17" t="s">
        <v>67</v>
      </c>
      <c r="D62" s="18">
        <f>77673.1-D139</f>
        <v>77673.100000000006</v>
      </c>
      <c r="E62" s="19">
        <v>0</v>
      </c>
      <c r="F62" s="19">
        <f>+D62+E62</f>
        <v>77673.100000000006</v>
      </c>
      <c r="G62" s="19">
        <v>345395.06400000001</v>
      </c>
      <c r="H62" s="19">
        <v>345395.06400000001</v>
      </c>
      <c r="I62" s="19">
        <f>+F62-G62</f>
        <v>-267721.96400000004</v>
      </c>
      <c r="K62" s="2"/>
    </row>
    <row r="63" spans="2:11" x14ac:dyDescent="0.25">
      <c r="B63" s="12" t="s">
        <v>68</v>
      </c>
      <c r="C63" s="13"/>
      <c r="D63" s="14">
        <f t="shared" ref="D63:I63" si="14">SUM(D64:D71)</f>
        <v>1722832</v>
      </c>
      <c r="E63" s="14">
        <f t="shared" si="14"/>
        <v>0</v>
      </c>
      <c r="F63" s="14">
        <f t="shared" si="14"/>
        <v>1722832</v>
      </c>
      <c r="G63" s="14">
        <f t="shared" si="14"/>
        <v>3605081.78254</v>
      </c>
      <c r="H63" s="14">
        <f t="shared" si="14"/>
        <v>3605081.78254</v>
      </c>
      <c r="I63" s="14">
        <f t="shared" si="14"/>
        <v>-1882249.78254</v>
      </c>
    </row>
    <row r="64" spans="2:11" ht="10.5" customHeight="1" x14ac:dyDescent="0.25">
      <c r="B64" s="16"/>
      <c r="C64" s="17" t="s">
        <v>69</v>
      </c>
      <c r="D64" s="18">
        <f>0-D141</f>
        <v>0</v>
      </c>
      <c r="E64" s="19">
        <v>0</v>
      </c>
      <c r="F64" s="19">
        <f t="shared" ref="F64:F71" si="15">+D64+E64</f>
        <v>0</v>
      </c>
      <c r="G64" s="19">
        <f t="shared" ref="G64:H67" si="16">0-G141</f>
        <v>0</v>
      </c>
      <c r="H64" s="19">
        <f t="shared" si="16"/>
        <v>0</v>
      </c>
      <c r="I64" s="19">
        <f t="shared" ref="I64:I71" si="17">+F64-G64</f>
        <v>0</v>
      </c>
      <c r="K64" s="2"/>
    </row>
    <row r="65" spans="2:13" ht="10.5" customHeight="1" x14ac:dyDescent="0.25">
      <c r="B65" s="16"/>
      <c r="C65" s="17" t="s">
        <v>70</v>
      </c>
      <c r="D65" s="18">
        <f>0-D142</f>
        <v>0</v>
      </c>
      <c r="E65" s="19">
        <v>0</v>
      </c>
      <c r="F65" s="19">
        <f t="shared" si="15"/>
        <v>0</v>
      </c>
      <c r="G65" s="19">
        <f t="shared" si="16"/>
        <v>0</v>
      </c>
      <c r="H65" s="19">
        <f t="shared" si="16"/>
        <v>0</v>
      </c>
      <c r="I65" s="19">
        <f t="shared" si="17"/>
        <v>0</v>
      </c>
      <c r="K65" s="2"/>
    </row>
    <row r="66" spans="2:13" ht="10.5" customHeight="1" x14ac:dyDescent="0.25">
      <c r="B66" s="16"/>
      <c r="C66" s="17" t="s">
        <v>71</v>
      </c>
      <c r="D66" s="18">
        <f>0-D143</f>
        <v>0</v>
      </c>
      <c r="E66" s="19">
        <v>0</v>
      </c>
      <c r="F66" s="19">
        <f t="shared" si="15"/>
        <v>0</v>
      </c>
      <c r="G66" s="19">
        <f t="shared" si="16"/>
        <v>0</v>
      </c>
      <c r="H66" s="19">
        <f t="shared" si="16"/>
        <v>0</v>
      </c>
      <c r="I66" s="19">
        <f t="shared" si="17"/>
        <v>0</v>
      </c>
      <c r="K66" s="2"/>
    </row>
    <row r="67" spans="2:13" ht="10.5" customHeight="1" x14ac:dyDescent="0.25">
      <c r="B67" s="16"/>
      <c r="C67" s="17" t="s">
        <v>72</v>
      </c>
      <c r="D67" s="18">
        <f>0-D144</f>
        <v>0</v>
      </c>
      <c r="E67" s="19">
        <v>0</v>
      </c>
      <c r="F67" s="19">
        <f t="shared" si="15"/>
        <v>0</v>
      </c>
      <c r="G67" s="19">
        <f t="shared" si="16"/>
        <v>0</v>
      </c>
      <c r="H67" s="19">
        <f t="shared" si="16"/>
        <v>0</v>
      </c>
      <c r="I67" s="19">
        <f t="shared" si="17"/>
        <v>0</v>
      </c>
      <c r="K67" s="2"/>
    </row>
    <row r="68" spans="2:13" ht="10.5" customHeight="1" x14ac:dyDescent="0.25">
      <c r="B68" s="16"/>
      <c r="C68" s="17" t="s">
        <v>73</v>
      </c>
      <c r="D68" s="18">
        <f>1722832-D145</f>
        <v>1722832</v>
      </c>
      <c r="E68" s="19">
        <v>0</v>
      </c>
      <c r="F68" s="19">
        <f t="shared" si="15"/>
        <v>1722832</v>
      </c>
      <c r="G68" s="19">
        <v>3605081.78254</v>
      </c>
      <c r="H68" s="19">
        <v>3605081.78254</v>
      </c>
      <c r="I68" s="19">
        <f t="shared" si="17"/>
        <v>-1882249.78254</v>
      </c>
      <c r="K68" s="2"/>
    </row>
    <row r="69" spans="2:13" ht="10.5" customHeight="1" x14ac:dyDescent="0.25">
      <c r="B69" s="16"/>
      <c r="C69" s="17" t="s">
        <v>74</v>
      </c>
      <c r="D69" s="18">
        <f>0-D146</f>
        <v>0</v>
      </c>
      <c r="E69" s="19">
        <v>0</v>
      </c>
      <c r="F69" s="19">
        <f t="shared" si="15"/>
        <v>0</v>
      </c>
      <c r="G69" s="19">
        <f t="shared" ref="G69:H71" si="18">0-G146</f>
        <v>0</v>
      </c>
      <c r="H69" s="19">
        <f t="shared" si="18"/>
        <v>0</v>
      </c>
      <c r="I69" s="19">
        <f t="shared" si="17"/>
        <v>0</v>
      </c>
      <c r="K69" s="2"/>
    </row>
    <row r="70" spans="2:13" ht="10.5" customHeight="1" x14ac:dyDescent="0.25">
      <c r="B70" s="16"/>
      <c r="C70" s="17" t="s">
        <v>75</v>
      </c>
      <c r="D70" s="18">
        <f>0-D147</f>
        <v>0</v>
      </c>
      <c r="E70" s="19">
        <v>0</v>
      </c>
      <c r="F70" s="19">
        <f t="shared" si="15"/>
        <v>0</v>
      </c>
      <c r="G70" s="19">
        <f t="shared" si="18"/>
        <v>0</v>
      </c>
      <c r="H70" s="19">
        <f t="shared" si="18"/>
        <v>0</v>
      </c>
      <c r="I70" s="19">
        <f t="shared" si="17"/>
        <v>0</v>
      </c>
      <c r="K70" s="2"/>
    </row>
    <row r="71" spans="2:13" ht="10.5" customHeight="1" x14ac:dyDescent="0.25">
      <c r="B71" s="16"/>
      <c r="C71" s="17" t="s">
        <v>76</v>
      </c>
      <c r="D71" s="18">
        <f>0-D148</f>
        <v>0</v>
      </c>
      <c r="E71" s="19">
        <v>0</v>
      </c>
      <c r="F71" s="19">
        <f t="shared" si="15"/>
        <v>0</v>
      </c>
      <c r="G71" s="19">
        <f t="shared" si="18"/>
        <v>0</v>
      </c>
      <c r="H71" s="19">
        <f t="shared" si="18"/>
        <v>0</v>
      </c>
      <c r="I71" s="19">
        <f t="shared" si="17"/>
        <v>0</v>
      </c>
      <c r="K71" s="2"/>
    </row>
    <row r="72" spans="2:13" x14ac:dyDescent="0.25">
      <c r="B72" s="12" t="s">
        <v>77</v>
      </c>
      <c r="C72" s="13"/>
      <c r="D72" s="14">
        <f t="shared" ref="D72:I72" si="19">SUM(D73:D75)</f>
        <v>31474146.139999997</v>
      </c>
      <c r="E72" s="14">
        <f t="shared" si="19"/>
        <v>0</v>
      </c>
      <c r="F72" s="14">
        <f t="shared" si="19"/>
        <v>31474146.139999997</v>
      </c>
      <c r="G72" s="14">
        <f t="shared" si="19"/>
        <v>25538180.021090001</v>
      </c>
      <c r="H72" s="14">
        <f t="shared" si="19"/>
        <v>25454693.95101</v>
      </c>
      <c r="I72" s="14">
        <f t="shared" si="19"/>
        <v>5935966.1189099979</v>
      </c>
    </row>
    <row r="73" spans="2:13" ht="10.5" customHeight="1" x14ac:dyDescent="0.25">
      <c r="B73" s="16"/>
      <c r="C73" s="17" t="s">
        <v>78</v>
      </c>
      <c r="D73" s="18">
        <f>31566964.9-D150</f>
        <v>31474146.139999997</v>
      </c>
      <c r="E73" s="19">
        <v>0</v>
      </c>
      <c r="F73" s="19">
        <f>+D73+E73</f>
        <v>31474146.139999997</v>
      </c>
      <c r="G73" s="19">
        <v>25524875.99701</v>
      </c>
      <c r="H73" s="19">
        <f>25524875.99701-83486.1</f>
        <v>25441389.897009999</v>
      </c>
      <c r="I73" s="19">
        <f>+F73-G73</f>
        <v>5949270.1429899968</v>
      </c>
      <c r="K73" s="2"/>
    </row>
    <row r="74" spans="2:13" ht="10.5" customHeight="1" x14ac:dyDescent="0.25">
      <c r="B74" s="16"/>
      <c r="C74" s="17" t="s">
        <v>79</v>
      </c>
      <c r="D74" s="18">
        <f>18468992.5-D151</f>
        <v>0</v>
      </c>
      <c r="E74" s="19">
        <v>0</v>
      </c>
      <c r="F74" s="19">
        <f>+D74+E74</f>
        <v>0</v>
      </c>
      <c r="G74" s="19">
        <f>15599130.66408-G151</f>
        <v>-2.9920000582933426E-2</v>
      </c>
      <c r="H74" s="19">
        <v>0</v>
      </c>
      <c r="I74" s="19">
        <f>+F74-G74</f>
        <v>2.9920000582933426E-2</v>
      </c>
      <c r="K74" s="2"/>
    </row>
    <row r="75" spans="2:13" ht="10.5" customHeight="1" x14ac:dyDescent="0.25">
      <c r="B75" s="16"/>
      <c r="C75" s="17" t="s">
        <v>80</v>
      </c>
      <c r="D75" s="18">
        <f>0-D152</f>
        <v>0</v>
      </c>
      <c r="E75" s="19">
        <v>0</v>
      </c>
      <c r="F75" s="19">
        <f>+D75+E75</f>
        <v>0</v>
      </c>
      <c r="G75" s="19">
        <f>15603.64756-G152</f>
        <v>13304.054</v>
      </c>
      <c r="H75" s="19">
        <f>15603.64756-H152</f>
        <v>13304.054</v>
      </c>
      <c r="I75" s="19">
        <f>+F75-G75</f>
        <v>-13304.054</v>
      </c>
      <c r="K75" s="2"/>
    </row>
    <row r="76" spans="2:13" x14ac:dyDescent="0.25">
      <c r="B76" s="12" t="s">
        <v>81</v>
      </c>
      <c r="C76" s="13"/>
      <c r="D76" s="14">
        <f t="shared" ref="D76:I76" si="20">SUM(D77:D83)</f>
        <v>10984279.199999999</v>
      </c>
      <c r="E76" s="14">
        <f t="shared" si="20"/>
        <v>0</v>
      </c>
      <c r="F76" s="14">
        <f t="shared" si="20"/>
        <v>10984279.199999999</v>
      </c>
      <c r="G76" s="14">
        <f t="shared" si="20"/>
        <v>11427804.10139</v>
      </c>
      <c r="H76" s="14">
        <f t="shared" si="20"/>
        <v>11427804.10139</v>
      </c>
      <c r="I76" s="14">
        <f t="shared" si="20"/>
        <v>-443524.90138999961</v>
      </c>
      <c r="K76" s="20"/>
      <c r="L76" s="20"/>
      <c r="M76" s="20"/>
    </row>
    <row r="77" spans="2:13" ht="10.5" customHeight="1" x14ac:dyDescent="0.25">
      <c r="B77" s="16"/>
      <c r="C77" s="17" t="s">
        <v>82</v>
      </c>
      <c r="D77" s="18">
        <f>522275.5-D154</f>
        <v>522275.5</v>
      </c>
      <c r="E77" s="19">
        <v>0</v>
      </c>
      <c r="F77" s="19">
        <f t="shared" ref="F77:F82" si="21">+D77+E77</f>
        <v>522275.5</v>
      </c>
      <c r="G77" s="19">
        <v>1126990.2802800001</v>
      </c>
      <c r="H77" s="19">
        <v>1126990.2802800001</v>
      </c>
      <c r="I77" s="19">
        <f t="shared" ref="I77:I83" si="22">+F77-G77</f>
        <v>-604714.78028000006</v>
      </c>
      <c r="K77" s="2"/>
    </row>
    <row r="78" spans="2:13" ht="10.5" customHeight="1" x14ac:dyDescent="0.25">
      <c r="B78" s="16"/>
      <c r="C78" s="17" t="s">
        <v>83</v>
      </c>
      <c r="D78" s="18">
        <f>2936823-D155</f>
        <v>2936823</v>
      </c>
      <c r="E78" s="19">
        <v>0</v>
      </c>
      <c r="F78" s="19">
        <f t="shared" si="21"/>
        <v>2936823</v>
      </c>
      <c r="G78" s="19">
        <f>2826446.29488-G155</f>
        <v>2609171.0120399999</v>
      </c>
      <c r="H78" s="19">
        <f>2826446.29488-H155</f>
        <v>2609171.0120399999</v>
      </c>
      <c r="I78" s="19">
        <f t="shared" si="22"/>
        <v>327651.98796000006</v>
      </c>
      <c r="K78" s="2"/>
    </row>
    <row r="79" spans="2:13" ht="10.5" customHeight="1" x14ac:dyDescent="0.25">
      <c r="B79" s="16"/>
      <c r="C79" s="17" t="s">
        <v>84</v>
      </c>
      <c r="D79" s="18">
        <f>201200.9-D156</f>
        <v>201200.9</v>
      </c>
      <c r="E79" s="19">
        <v>0</v>
      </c>
      <c r="F79" s="19">
        <f t="shared" si="21"/>
        <v>201200.9</v>
      </c>
      <c r="G79" s="19">
        <v>75487.942680000007</v>
      </c>
      <c r="H79" s="19">
        <v>75487.942680000007</v>
      </c>
      <c r="I79" s="19">
        <f t="shared" si="22"/>
        <v>125712.95731999999</v>
      </c>
      <c r="K79" s="2"/>
    </row>
    <row r="80" spans="2:13" ht="10.5" customHeight="1" x14ac:dyDescent="0.25">
      <c r="B80" s="16"/>
      <c r="C80" s="17" t="s">
        <v>85</v>
      </c>
      <c r="D80" s="18">
        <f>210000-D157</f>
        <v>210000</v>
      </c>
      <c r="E80" s="19">
        <v>0</v>
      </c>
      <c r="F80" s="19">
        <f t="shared" si="21"/>
        <v>210000</v>
      </c>
      <c r="G80" s="19">
        <v>0</v>
      </c>
      <c r="H80" s="19">
        <v>0</v>
      </c>
      <c r="I80" s="19">
        <f t="shared" si="22"/>
        <v>210000</v>
      </c>
      <c r="K80" s="2"/>
    </row>
    <row r="81" spans="2:14" ht="10.5" customHeight="1" x14ac:dyDescent="0.25">
      <c r="B81" s="16"/>
      <c r="C81" s="17" t="s">
        <v>86</v>
      </c>
      <c r="D81" s="18">
        <f>671475.4-D158</f>
        <v>671475.4</v>
      </c>
      <c r="E81" s="19">
        <v>0</v>
      </c>
      <c r="F81" s="19">
        <f>+D81+E81</f>
        <v>671475.4</v>
      </c>
      <c r="G81" s="19">
        <v>253198.04191</v>
      </c>
      <c r="H81" s="19">
        <v>253198.04191</v>
      </c>
      <c r="I81" s="19">
        <f t="shared" si="22"/>
        <v>418277.35808999999</v>
      </c>
      <c r="K81" s="2"/>
    </row>
    <row r="82" spans="2:14" ht="10.5" customHeight="1" x14ac:dyDescent="0.25">
      <c r="B82" s="16"/>
      <c r="C82" s="17" t="s">
        <v>87</v>
      </c>
      <c r="D82" s="18">
        <f>0-D159</f>
        <v>0</v>
      </c>
      <c r="E82" s="19">
        <v>0</v>
      </c>
      <c r="F82" s="19">
        <f t="shared" si="21"/>
        <v>0</v>
      </c>
      <c r="G82" s="19">
        <v>0</v>
      </c>
      <c r="H82" s="19">
        <v>0</v>
      </c>
      <c r="I82" s="19">
        <f t="shared" si="22"/>
        <v>0</v>
      </c>
      <c r="K82" s="2"/>
    </row>
    <row r="83" spans="2:14" ht="10.5" customHeight="1" x14ac:dyDescent="0.25">
      <c r="B83" s="16"/>
      <c r="C83" s="17" t="s">
        <v>88</v>
      </c>
      <c r="D83" s="18">
        <v>6442504.4000000004</v>
      </c>
      <c r="E83" s="19">
        <v>0</v>
      </c>
      <c r="F83" s="19">
        <f>+D83+E83</f>
        <v>6442504.4000000004</v>
      </c>
      <c r="G83" s="19">
        <v>7362956.82448</v>
      </c>
      <c r="H83" s="19">
        <v>7362956.82448</v>
      </c>
      <c r="I83" s="19">
        <f t="shared" si="22"/>
        <v>-920452.42447999958</v>
      </c>
      <c r="K83" s="2"/>
    </row>
    <row r="84" spans="2:14" x14ac:dyDescent="0.25">
      <c r="B84" s="21"/>
      <c r="C84" s="22"/>
      <c r="D84" s="23"/>
      <c r="E84" s="23"/>
      <c r="F84" s="23"/>
      <c r="G84" s="23"/>
      <c r="H84" s="23"/>
      <c r="I84" s="23"/>
    </row>
    <row r="85" spans="2:14" x14ac:dyDescent="0.25">
      <c r="B85" s="24"/>
      <c r="C85" s="24"/>
      <c r="D85" s="18"/>
      <c r="E85" s="18"/>
      <c r="F85" s="18"/>
      <c r="G85" s="18"/>
      <c r="H85" s="18"/>
      <c r="I85" s="18"/>
    </row>
    <row r="86" spans="2:14" ht="6" customHeight="1" x14ac:dyDescent="0.25">
      <c r="B86" s="25"/>
      <c r="C86" s="26"/>
      <c r="D86" s="27"/>
      <c r="E86" s="27"/>
      <c r="F86" s="27"/>
      <c r="G86" s="27"/>
      <c r="H86" s="27"/>
      <c r="I86" s="27"/>
    </row>
    <row r="87" spans="2:14" ht="12" customHeight="1" x14ac:dyDescent="0.25">
      <c r="B87" s="12" t="s">
        <v>89</v>
      </c>
      <c r="C87" s="13"/>
      <c r="D87" s="14">
        <f t="shared" ref="D87:I87" si="23">+D88+D96+D106+D116+D126+D136+D140+D149+D153</f>
        <v>93111161.810000017</v>
      </c>
      <c r="E87" s="14">
        <f t="shared" si="23"/>
        <v>149177.69060000003</v>
      </c>
      <c r="F87" s="14">
        <f t="shared" si="23"/>
        <v>93260339.50060001</v>
      </c>
      <c r="G87" s="14">
        <f>+G88+G96+G106+G116+G126+G136+G140+G149+G153</f>
        <v>71215390.679389998</v>
      </c>
      <c r="H87" s="14">
        <f t="shared" si="23"/>
        <v>71215390.679389998</v>
      </c>
      <c r="I87" s="14">
        <f t="shared" si="23"/>
        <v>22044948.821210004</v>
      </c>
      <c r="K87" s="2"/>
    </row>
    <row r="88" spans="2:14" ht="12.75" customHeight="1" x14ac:dyDescent="0.25">
      <c r="B88" s="12" t="s">
        <v>16</v>
      </c>
      <c r="C88" s="13"/>
      <c r="D88" s="14">
        <f>SUM(D89:D95)</f>
        <v>11528448.700000001</v>
      </c>
      <c r="E88" s="14">
        <f t="shared" ref="E88:I88" si="24">SUM(E89:E95)</f>
        <v>4930.6440000000002</v>
      </c>
      <c r="F88" s="14">
        <f t="shared" si="24"/>
        <v>11533379.344000001</v>
      </c>
      <c r="G88" s="14">
        <f t="shared" si="24"/>
        <v>10202182.64216</v>
      </c>
      <c r="H88" s="14">
        <f t="shared" si="24"/>
        <v>10202182.64216</v>
      </c>
      <c r="I88" s="14">
        <f t="shared" si="24"/>
        <v>1331196.7018400002</v>
      </c>
      <c r="K88" s="2"/>
    </row>
    <row r="89" spans="2:14" ht="9.75" customHeight="1" x14ac:dyDescent="0.25">
      <c r="B89" s="16"/>
      <c r="C89" s="17" t="s">
        <v>17</v>
      </c>
      <c r="D89" s="18">
        <f>3072716.2+4659339.4</f>
        <v>7732055.6000000006</v>
      </c>
      <c r="E89" s="19">
        <v>3148.9940000000001</v>
      </c>
      <c r="F89" s="19">
        <f t="shared" ref="F89:F95" si="25">+D89+E89</f>
        <v>7735204.5940000005</v>
      </c>
      <c r="G89" s="19">
        <v>7669928.5961600002</v>
      </c>
      <c r="H89" s="19">
        <f t="shared" ref="H89:H95" si="26">G89</f>
        <v>7669928.5961600002</v>
      </c>
      <c r="I89" s="19">
        <f t="shared" ref="I89:I95" si="27">+F89-G89</f>
        <v>65275.997840000317</v>
      </c>
      <c r="K89" s="2"/>
    </row>
    <row r="90" spans="2:14" ht="10.5" customHeight="1" x14ac:dyDescent="0.25">
      <c r="B90" s="16"/>
      <c r="C90" s="17" t="s">
        <v>18</v>
      </c>
      <c r="D90" s="18">
        <v>0</v>
      </c>
      <c r="E90" s="19">
        <v>0</v>
      </c>
      <c r="F90" s="19">
        <f t="shared" si="25"/>
        <v>0</v>
      </c>
      <c r="G90" s="19">
        <v>0</v>
      </c>
      <c r="H90" s="19">
        <f t="shared" si="26"/>
        <v>0</v>
      </c>
      <c r="I90" s="19">
        <f t="shared" si="27"/>
        <v>0</v>
      </c>
      <c r="K90" s="2"/>
    </row>
    <row r="91" spans="2:14" ht="10.5" customHeight="1" x14ac:dyDescent="0.25">
      <c r="B91" s="16"/>
      <c r="C91" s="17" t="s">
        <v>19</v>
      </c>
      <c r="D91" s="18">
        <v>1888350.5</v>
      </c>
      <c r="E91" s="19">
        <v>833.76</v>
      </c>
      <c r="F91" s="19">
        <f t="shared" si="25"/>
        <v>1889184.26</v>
      </c>
      <c r="G91" s="19">
        <v>1293076.4550000001</v>
      </c>
      <c r="H91" s="19">
        <f t="shared" si="26"/>
        <v>1293076.4550000001</v>
      </c>
      <c r="I91" s="19">
        <f t="shared" si="27"/>
        <v>596107.80499999993</v>
      </c>
      <c r="K91" s="2"/>
    </row>
    <row r="92" spans="2:14" ht="10.5" customHeight="1" x14ac:dyDescent="0.25">
      <c r="B92" s="16"/>
      <c r="C92" s="17" t="s">
        <v>20</v>
      </c>
      <c r="D92" s="18">
        <v>622657.9</v>
      </c>
      <c r="E92" s="19">
        <v>724.51</v>
      </c>
      <c r="F92" s="19">
        <f t="shared" si="25"/>
        <v>623382.41</v>
      </c>
      <c r="G92" s="19">
        <v>720978.951</v>
      </c>
      <c r="H92" s="19">
        <f t="shared" si="26"/>
        <v>720978.951</v>
      </c>
      <c r="I92" s="19">
        <f t="shared" si="27"/>
        <v>-97596.540999999968</v>
      </c>
      <c r="K92" s="2"/>
    </row>
    <row r="93" spans="2:14" ht="10.5" customHeight="1" x14ac:dyDescent="0.25">
      <c r="B93" s="16"/>
      <c r="C93" s="17" t="s">
        <v>21</v>
      </c>
      <c r="D93" s="18">
        <v>1285384.7</v>
      </c>
      <c r="E93" s="19">
        <v>223.38</v>
      </c>
      <c r="F93" s="19">
        <f t="shared" si="25"/>
        <v>1285608.0799999998</v>
      </c>
      <c r="G93" s="19">
        <v>518198.64</v>
      </c>
      <c r="H93" s="19">
        <f t="shared" si="26"/>
        <v>518198.64</v>
      </c>
      <c r="I93" s="19">
        <f t="shared" si="27"/>
        <v>767409.43999999983</v>
      </c>
      <c r="K93" s="2"/>
    </row>
    <row r="94" spans="2:14" ht="10.5" customHeight="1" x14ac:dyDescent="0.25">
      <c r="B94" s="16"/>
      <c r="C94" s="17" t="s">
        <v>22</v>
      </c>
      <c r="D94" s="18">
        <v>0</v>
      </c>
      <c r="E94" s="19">
        <v>0</v>
      </c>
      <c r="F94" s="19">
        <f t="shared" si="25"/>
        <v>0</v>
      </c>
      <c r="G94" s="19">
        <v>0</v>
      </c>
      <c r="H94" s="19">
        <f t="shared" si="26"/>
        <v>0</v>
      </c>
      <c r="I94" s="19">
        <f t="shared" si="27"/>
        <v>0</v>
      </c>
      <c r="K94" s="2"/>
    </row>
    <row r="95" spans="2:14" ht="10.5" customHeight="1" x14ac:dyDescent="0.25">
      <c r="B95" s="16"/>
      <c r="C95" s="17" t="s">
        <v>23</v>
      </c>
      <c r="D95" s="18">
        <v>0</v>
      </c>
      <c r="E95" s="19">
        <v>0</v>
      </c>
      <c r="F95" s="19">
        <f t="shared" si="25"/>
        <v>0</v>
      </c>
      <c r="G95" s="19">
        <v>0</v>
      </c>
      <c r="H95" s="19">
        <f t="shared" si="26"/>
        <v>0</v>
      </c>
      <c r="I95" s="19">
        <f t="shared" si="27"/>
        <v>0</v>
      </c>
      <c r="K95" s="2"/>
    </row>
    <row r="96" spans="2:14" ht="13.5" customHeight="1" x14ac:dyDescent="0.25">
      <c r="B96" s="12" t="s">
        <v>24</v>
      </c>
      <c r="C96" s="13"/>
      <c r="D96" s="14">
        <f t="shared" ref="D96:I96" si="28">SUM(D97:D105)</f>
        <v>1816.63</v>
      </c>
      <c r="E96" s="14">
        <f t="shared" si="28"/>
        <v>16053.09679</v>
      </c>
      <c r="F96" s="14">
        <f t="shared" si="28"/>
        <v>17869.726790000001</v>
      </c>
      <c r="G96" s="14">
        <f t="shared" si="28"/>
        <v>16068.954589999999</v>
      </c>
      <c r="H96" s="14">
        <f t="shared" si="28"/>
        <v>16068.954589999999</v>
      </c>
      <c r="I96" s="14">
        <f t="shared" si="28"/>
        <v>1800.7722000000001</v>
      </c>
      <c r="K96" s="2"/>
      <c r="M96" s="15"/>
      <c r="N96" s="15"/>
    </row>
    <row r="97" spans="2:11" ht="10.5" customHeight="1" x14ac:dyDescent="0.25">
      <c r="B97" s="16"/>
      <c r="C97" s="17" t="s">
        <v>25</v>
      </c>
      <c r="D97" s="18">
        <v>985.5</v>
      </c>
      <c r="E97" s="19">
        <v>14972.470529999999</v>
      </c>
      <c r="F97" s="19">
        <f t="shared" ref="F97:F105" si="29">+D97+E97</f>
        <v>15957.970529999999</v>
      </c>
      <c r="G97" s="19">
        <v>14972.470529999999</v>
      </c>
      <c r="H97" s="19">
        <f t="shared" ref="H97:H105" si="30">G97</f>
        <v>14972.470529999999</v>
      </c>
      <c r="I97" s="19">
        <f t="shared" ref="I97:I105" si="31">+F97-G97</f>
        <v>985.5</v>
      </c>
      <c r="K97" s="2"/>
    </row>
    <row r="98" spans="2:11" ht="10.5" customHeight="1" x14ac:dyDescent="0.25">
      <c r="B98" s="16"/>
      <c r="C98" s="17" t="s">
        <v>26</v>
      </c>
      <c r="D98" s="18">
        <v>244.5</v>
      </c>
      <c r="E98" s="19">
        <v>0</v>
      </c>
      <c r="F98" s="19">
        <f t="shared" si="29"/>
        <v>244.5</v>
      </c>
      <c r="G98" s="19">
        <v>15.857799999999999</v>
      </c>
      <c r="H98" s="19">
        <f t="shared" si="30"/>
        <v>15.857799999999999</v>
      </c>
      <c r="I98" s="19">
        <f t="shared" si="31"/>
        <v>228.6422</v>
      </c>
      <c r="K98" s="2"/>
    </row>
    <row r="99" spans="2:11" ht="10.5" customHeight="1" x14ac:dyDescent="0.25">
      <c r="B99" s="16"/>
      <c r="C99" s="17" t="s">
        <v>27</v>
      </c>
      <c r="D99" s="18">
        <v>0</v>
      </c>
      <c r="E99" s="19">
        <v>0</v>
      </c>
      <c r="F99" s="19">
        <f t="shared" si="29"/>
        <v>0</v>
      </c>
      <c r="G99" s="19">
        <v>0</v>
      </c>
      <c r="H99" s="19">
        <f t="shared" si="30"/>
        <v>0</v>
      </c>
      <c r="I99" s="19">
        <f t="shared" si="31"/>
        <v>0</v>
      </c>
      <c r="K99" s="2"/>
    </row>
    <row r="100" spans="2:11" ht="10.5" customHeight="1" x14ac:dyDescent="0.25">
      <c r="B100" s="16"/>
      <c r="C100" s="17" t="s">
        <v>28</v>
      </c>
      <c r="D100" s="18">
        <v>4</v>
      </c>
      <c r="E100" s="19">
        <v>50.682859999999998</v>
      </c>
      <c r="F100" s="19">
        <f t="shared" si="29"/>
        <v>54.682859999999998</v>
      </c>
      <c r="G100" s="19">
        <v>50.682859999999998</v>
      </c>
      <c r="H100" s="19">
        <f t="shared" si="30"/>
        <v>50.682859999999998</v>
      </c>
      <c r="I100" s="19">
        <f t="shared" si="31"/>
        <v>4</v>
      </c>
      <c r="K100" s="2"/>
    </row>
    <row r="101" spans="2:11" ht="10.5" customHeight="1" x14ac:dyDescent="0.25">
      <c r="B101" s="16"/>
      <c r="C101" s="17" t="s">
        <v>29</v>
      </c>
      <c r="D101" s="18">
        <v>89.93</v>
      </c>
      <c r="E101" s="19">
        <v>0</v>
      </c>
      <c r="F101" s="19">
        <f t="shared" si="29"/>
        <v>89.93</v>
      </c>
      <c r="G101" s="19">
        <v>0</v>
      </c>
      <c r="H101" s="19">
        <f t="shared" si="30"/>
        <v>0</v>
      </c>
      <c r="I101" s="19">
        <f t="shared" si="31"/>
        <v>89.93</v>
      </c>
      <c r="K101" s="2"/>
    </row>
    <row r="102" spans="2:11" ht="10.5" customHeight="1" x14ac:dyDescent="0.25">
      <c r="B102" s="16"/>
      <c r="C102" s="17" t="s">
        <v>30</v>
      </c>
      <c r="D102" s="18">
        <v>0</v>
      </c>
      <c r="E102" s="19">
        <v>1029.9433999999999</v>
      </c>
      <c r="F102" s="19">
        <f t="shared" si="29"/>
        <v>1029.9433999999999</v>
      </c>
      <c r="G102" s="19">
        <v>1029.9433999999999</v>
      </c>
      <c r="H102" s="19">
        <f t="shared" si="30"/>
        <v>1029.9433999999999</v>
      </c>
      <c r="I102" s="19">
        <f t="shared" si="31"/>
        <v>0</v>
      </c>
      <c r="K102" s="2"/>
    </row>
    <row r="103" spans="2:11" ht="10.5" customHeight="1" x14ac:dyDescent="0.25">
      <c r="B103" s="16"/>
      <c r="C103" s="17" t="s">
        <v>31</v>
      </c>
      <c r="D103" s="18">
        <v>492.7</v>
      </c>
      <c r="E103" s="19">
        <v>0</v>
      </c>
      <c r="F103" s="19">
        <f t="shared" si="29"/>
        <v>492.7</v>
      </c>
      <c r="G103" s="19">
        <v>0</v>
      </c>
      <c r="H103" s="19">
        <f t="shared" si="30"/>
        <v>0</v>
      </c>
      <c r="I103" s="19">
        <f t="shared" si="31"/>
        <v>492.7</v>
      </c>
      <c r="K103" s="2"/>
    </row>
    <row r="104" spans="2:11" ht="10.5" customHeight="1" x14ac:dyDescent="0.25">
      <c r="B104" s="16"/>
      <c r="C104" s="17" t="s">
        <v>32</v>
      </c>
      <c r="D104" s="18">
        <v>0</v>
      </c>
      <c r="E104" s="19">
        <v>0</v>
      </c>
      <c r="F104" s="19">
        <f t="shared" si="29"/>
        <v>0</v>
      </c>
      <c r="G104" s="19">
        <v>0</v>
      </c>
      <c r="H104" s="19">
        <f t="shared" si="30"/>
        <v>0</v>
      </c>
      <c r="I104" s="19">
        <f t="shared" si="31"/>
        <v>0</v>
      </c>
      <c r="K104" s="2"/>
    </row>
    <row r="105" spans="2:11" ht="10.5" customHeight="1" x14ac:dyDescent="0.25">
      <c r="B105" s="16"/>
      <c r="C105" s="17" t="s">
        <v>33</v>
      </c>
      <c r="D105" s="18">
        <v>0</v>
      </c>
      <c r="E105" s="19">
        <v>0</v>
      </c>
      <c r="F105" s="19">
        <f t="shared" si="29"/>
        <v>0</v>
      </c>
      <c r="G105" s="19">
        <v>0</v>
      </c>
      <c r="H105" s="19">
        <f t="shared" si="30"/>
        <v>0</v>
      </c>
      <c r="I105" s="19">
        <f t="shared" si="31"/>
        <v>0</v>
      </c>
      <c r="K105" s="2"/>
    </row>
    <row r="106" spans="2:11" ht="14.25" customHeight="1" x14ac:dyDescent="0.25">
      <c r="B106" s="12" t="s">
        <v>34</v>
      </c>
      <c r="C106" s="13"/>
      <c r="D106" s="14">
        <f t="shared" ref="D106:I106" si="32">SUM(D107:D115)</f>
        <v>26977.8</v>
      </c>
      <c r="E106" s="14">
        <f t="shared" si="32"/>
        <v>47797.107920000002</v>
      </c>
      <c r="F106" s="14">
        <f t="shared" si="32"/>
        <v>74774.907920000012</v>
      </c>
      <c r="G106" s="14">
        <f t="shared" si="32"/>
        <v>95390.629819999987</v>
      </c>
      <c r="H106" s="14">
        <f t="shared" si="32"/>
        <v>95390.629819999987</v>
      </c>
      <c r="I106" s="14">
        <f t="shared" si="32"/>
        <v>-20615.721899999986</v>
      </c>
      <c r="K106" s="2"/>
    </row>
    <row r="107" spans="2:11" ht="10.5" customHeight="1" x14ac:dyDescent="0.25">
      <c r="B107" s="16"/>
      <c r="C107" s="17" t="s">
        <v>35</v>
      </c>
      <c r="D107" s="18">
        <v>10.3</v>
      </c>
      <c r="E107" s="19">
        <v>0</v>
      </c>
      <c r="F107" s="19">
        <f t="shared" ref="F107:F115" si="33">+D107+E107</f>
        <v>10.3</v>
      </c>
      <c r="G107" s="19">
        <v>0</v>
      </c>
      <c r="H107" s="19">
        <f t="shared" ref="H107:H115" si="34">G107</f>
        <v>0</v>
      </c>
      <c r="I107" s="19">
        <f t="shared" ref="I107:I115" si="35">+F107-G107</f>
        <v>10.3</v>
      </c>
      <c r="K107" s="2"/>
    </row>
    <row r="108" spans="2:11" ht="10.5" customHeight="1" x14ac:dyDescent="0.25">
      <c r="B108" s="16"/>
      <c r="C108" s="17" t="s">
        <v>36</v>
      </c>
      <c r="D108" s="18">
        <v>90</v>
      </c>
      <c r="E108" s="19">
        <v>0</v>
      </c>
      <c r="F108" s="19">
        <f t="shared" si="33"/>
        <v>90</v>
      </c>
      <c r="G108" s="19">
        <v>0</v>
      </c>
      <c r="H108" s="19">
        <f t="shared" si="34"/>
        <v>0</v>
      </c>
      <c r="I108" s="19">
        <f t="shared" si="35"/>
        <v>90</v>
      </c>
      <c r="K108" s="2"/>
    </row>
    <row r="109" spans="2:11" ht="10.5" customHeight="1" x14ac:dyDescent="0.25">
      <c r="B109" s="16"/>
      <c r="C109" s="17" t="s">
        <v>37</v>
      </c>
      <c r="D109" s="18">
        <v>26860.5</v>
      </c>
      <c r="E109" s="19">
        <v>47082.604920000005</v>
      </c>
      <c r="F109" s="19">
        <f t="shared" si="33"/>
        <v>73943.104920000012</v>
      </c>
      <c r="G109" s="19">
        <v>93984.445619999999</v>
      </c>
      <c r="H109" s="19">
        <f t="shared" si="34"/>
        <v>93984.445619999999</v>
      </c>
      <c r="I109" s="19">
        <f t="shared" si="35"/>
        <v>-20041.340699999986</v>
      </c>
      <c r="K109" s="2"/>
    </row>
    <row r="110" spans="2:11" ht="10.5" customHeight="1" x14ac:dyDescent="0.25">
      <c r="B110" s="16"/>
      <c r="C110" s="17" t="s">
        <v>38</v>
      </c>
      <c r="D110" s="18">
        <v>0</v>
      </c>
      <c r="E110" s="19">
        <v>0</v>
      </c>
      <c r="F110" s="19">
        <f t="shared" si="33"/>
        <v>0</v>
      </c>
      <c r="G110" s="19">
        <v>0</v>
      </c>
      <c r="H110" s="19">
        <f t="shared" si="34"/>
        <v>0</v>
      </c>
      <c r="I110" s="19">
        <f t="shared" si="35"/>
        <v>0</v>
      </c>
      <c r="K110" s="2"/>
    </row>
    <row r="111" spans="2:11" ht="10.5" customHeight="1" x14ac:dyDescent="0.25">
      <c r="B111" s="16"/>
      <c r="C111" s="17" t="s">
        <v>39</v>
      </c>
      <c r="D111" s="18">
        <v>0</v>
      </c>
      <c r="E111" s="19">
        <v>0</v>
      </c>
      <c r="F111" s="19">
        <f t="shared" si="33"/>
        <v>0</v>
      </c>
      <c r="G111" s="19">
        <v>0</v>
      </c>
      <c r="H111" s="19">
        <f t="shared" si="34"/>
        <v>0</v>
      </c>
      <c r="I111" s="19">
        <f t="shared" si="35"/>
        <v>0</v>
      </c>
      <c r="K111" s="2"/>
    </row>
    <row r="112" spans="2:11" ht="10.5" customHeight="1" x14ac:dyDescent="0.25">
      <c r="B112" s="16"/>
      <c r="C112" s="17" t="s">
        <v>40</v>
      </c>
      <c r="D112" s="18">
        <v>0</v>
      </c>
      <c r="E112" s="19">
        <v>27</v>
      </c>
      <c r="F112" s="19">
        <f t="shared" si="33"/>
        <v>27</v>
      </c>
      <c r="G112" s="19">
        <v>27</v>
      </c>
      <c r="H112" s="19">
        <f t="shared" si="34"/>
        <v>27</v>
      </c>
      <c r="I112" s="19">
        <f t="shared" si="35"/>
        <v>0</v>
      </c>
      <c r="K112" s="2"/>
    </row>
    <row r="113" spans="2:11" ht="10.5" customHeight="1" x14ac:dyDescent="0.25">
      <c r="B113" s="16"/>
      <c r="C113" s="17" t="s">
        <v>41</v>
      </c>
      <c r="D113" s="18">
        <v>17</v>
      </c>
      <c r="E113" s="19">
        <v>0</v>
      </c>
      <c r="F113" s="19">
        <f t="shared" si="33"/>
        <v>17</v>
      </c>
      <c r="G113" s="19">
        <v>14.095799999999999</v>
      </c>
      <c r="H113" s="19">
        <f t="shared" si="34"/>
        <v>14.095799999999999</v>
      </c>
      <c r="I113" s="19">
        <f t="shared" si="35"/>
        <v>2.9042000000000012</v>
      </c>
      <c r="K113" s="2"/>
    </row>
    <row r="114" spans="2:11" ht="10.5" customHeight="1" x14ac:dyDescent="0.25">
      <c r="B114" s="16"/>
      <c r="C114" s="17" t="s">
        <v>42</v>
      </c>
      <c r="D114" s="18">
        <v>0</v>
      </c>
      <c r="E114" s="19">
        <v>687.50300000000004</v>
      </c>
      <c r="F114" s="19">
        <f t="shared" si="33"/>
        <v>687.50300000000004</v>
      </c>
      <c r="G114" s="19">
        <v>1365.0883999999999</v>
      </c>
      <c r="H114" s="19">
        <f t="shared" si="34"/>
        <v>1365.0883999999999</v>
      </c>
      <c r="I114" s="19">
        <f t="shared" si="35"/>
        <v>-677.58539999999982</v>
      </c>
      <c r="K114" s="2"/>
    </row>
    <row r="115" spans="2:11" ht="10.5" customHeight="1" x14ac:dyDescent="0.25">
      <c r="B115" s="16"/>
      <c r="C115" s="17" t="s">
        <v>43</v>
      </c>
      <c r="D115" s="18">
        <v>0</v>
      </c>
      <c r="E115" s="19">
        <v>0</v>
      </c>
      <c r="F115" s="19">
        <f t="shared" si="33"/>
        <v>0</v>
      </c>
      <c r="G115" s="19">
        <v>0</v>
      </c>
      <c r="H115" s="19">
        <f t="shared" si="34"/>
        <v>0</v>
      </c>
      <c r="I115" s="19">
        <f t="shared" si="35"/>
        <v>0</v>
      </c>
      <c r="K115" s="2"/>
    </row>
    <row r="116" spans="2:11" ht="10.5" customHeight="1" x14ac:dyDescent="0.25">
      <c r="B116" s="12" t="s">
        <v>44</v>
      </c>
      <c r="C116" s="13"/>
      <c r="D116" s="14">
        <f t="shared" ref="D116:I116" si="36">SUM(D117:D125)</f>
        <v>58787722.400000006</v>
      </c>
      <c r="E116" s="14">
        <f t="shared" si="36"/>
        <v>71289.59</v>
      </c>
      <c r="F116" s="14">
        <f t="shared" si="36"/>
        <v>58859011.990000002</v>
      </c>
      <c r="G116" s="14">
        <f t="shared" si="36"/>
        <v>41371221.362540007</v>
      </c>
      <c r="H116" s="14">
        <f t="shared" si="36"/>
        <v>41371221.362540007</v>
      </c>
      <c r="I116" s="14">
        <f t="shared" si="36"/>
        <v>17487790.627459999</v>
      </c>
      <c r="K116" s="2"/>
    </row>
    <row r="117" spans="2:11" ht="10.5" customHeight="1" x14ac:dyDescent="0.25">
      <c r="B117" s="16"/>
      <c r="C117" s="17" t="s">
        <v>45</v>
      </c>
      <c r="D117" s="18">
        <v>0</v>
      </c>
      <c r="E117" s="19">
        <v>0</v>
      </c>
      <c r="F117" s="19">
        <f t="shared" ref="F117:F135" si="37">+D117+E117</f>
        <v>0</v>
      </c>
      <c r="G117" s="19">
        <v>1634703.9439999999</v>
      </c>
      <c r="H117" s="19">
        <f t="shared" ref="H117:H125" si="38">G117</f>
        <v>1634703.9439999999</v>
      </c>
      <c r="I117" s="19">
        <f t="shared" ref="I117:I160" si="39">+F117-G117</f>
        <v>-1634703.9439999999</v>
      </c>
      <c r="K117" s="2"/>
    </row>
    <row r="118" spans="2:11" ht="10.5" customHeight="1" x14ac:dyDescent="0.25">
      <c r="B118" s="16"/>
      <c r="C118" s="17" t="s">
        <v>46</v>
      </c>
      <c r="D118" s="18">
        <v>0</v>
      </c>
      <c r="E118" s="19">
        <v>0</v>
      </c>
      <c r="F118" s="19">
        <f t="shared" si="37"/>
        <v>0</v>
      </c>
      <c r="G118" s="19">
        <v>0</v>
      </c>
      <c r="H118" s="19">
        <f t="shared" si="38"/>
        <v>0</v>
      </c>
      <c r="I118" s="19">
        <f t="shared" si="39"/>
        <v>0</v>
      </c>
      <c r="K118" s="2"/>
    </row>
    <row r="119" spans="2:11" ht="10.5" customHeight="1" x14ac:dyDescent="0.25">
      <c r="B119" s="16"/>
      <c r="C119" s="17" t="s">
        <v>47</v>
      </c>
      <c r="D119" s="18">
        <v>607.29999999999995</v>
      </c>
      <c r="E119" s="19">
        <v>0</v>
      </c>
      <c r="F119" s="19">
        <f t="shared" si="37"/>
        <v>607.29999999999995</v>
      </c>
      <c r="G119" s="19">
        <v>0</v>
      </c>
      <c r="H119" s="19">
        <f t="shared" si="38"/>
        <v>0</v>
      </c>
      <c r="I119" s="19">
        <f t="shared" si="39"/>
        <v>607.29999999999995</v>
      </c>
      <c r="K119" s="2"/>
    </row>
    <row r="120" spans="2:11" ht="10.5" customHeight="1" x14ac:dyDescent="0.25">
      <c r="B120" s="16"/>
      <c r="C120" s="17" t="s">
        <v>48</v>
      </c>
      <c r="D120" s="18">
        <v>469.4</v>
      </c>
      <c r="E120" s="19">
        <v>71289.59</v>
      </c>
      <c r="F120" s="19">
        <f>+D120+E120</f>
        <v>71758.989999999991</v>
      </c>
      <c r="G120" s="19">
        <v>71289.59</v>
      </c>
      <c r="H120" s="19">
        <f t="shared" si="38"/>
        <v>71289.59</v>
      </c>
      <c r="I120" s="19">
        <f t="shared" si="39"/>
        <v>469.39999999999418</v>
      </c>
      <c r="K120" s="2"/>
    </row>
    <row r="121" spans="2:11" ht="10.5" customHeight="1" x14ac:dyDescent="0.25">
      <c r="B121" s="16"/>
      <c r="C121" s="17" t="s">
        <v>49</v>
      </c>
      <c r="D121" s="18">
        <v>0</v>
      </c>
      <c r="E121" s="19">
        <v>0</v>
      </c>
      <c r="F121" s="19">
        <f t="shared" si="37"/>
        <v>0</v>
      </c>
      <c r="G121" s="19">
        <v>0</v>
      </c>
      <c r="H121" s="19">
        <f t="shared" si="38"/>
        <v>0</v>
      </c>
      <c r="I121" s="19">
        <f t="shared" si="39"/>
        <v>0</v>
      </c>
      <c r="K121" s="2"/>
    </row>
    <row r="122" spans="2:11" ht="10.5" customHeight="1" x14ac:dyDescent="0.25">
      <c r="B122" s="16"/>
      <c r="C122" s="17" t="s">
        <v>50</v>
      </c>
      <c r="D122" s="18">
        <v>58786645.700000003</v>
      </c>
      <c r="E122" s="19">
        <v>0</v>
      </c>
      <c r="F122" s="19">
        <f>+D122+E122</f>
        <v>58786645.700000003</v>
      </c>
      <c r="G122" s="19">
        <f>39656120.62854+4793.2+4314</f>
        <v>39665227.828540005</v>
      </c>
      <c r="H122" s="19">
        <f t="shared" si="38"/>
        <v>39665227.828540005</v>
      </c>
      <c r="I122" s="19">
        <f t="shared" si="39"/>
        <v>19121417.871459998</v>
      </c>
      <c r="K122" s="2"/>
    </row>
    <row r="123" spans="2:11" ht="10.5" customHeight="1" x14ac:dyDescent="0.25">
      <c r="B123" s="16"/>
      <c r="C123" s="17" t="s">
        <v>51</v>
      </c>
      <c r="D123" s="18">
        <v>0</v>
      </c>
      <c r="E123" s="19">
        <v>0</v>
      </c>
      <c r="F123" s="19">
        <f t="shared" si="37"/>
        <v>0</v>
      </c>
      <c r="G123" s="19">
        <v>0</v>
      </c>
      <c r="H123" s="19">
        <f t="shared" si="38"/>
        <v>0</v>
      </c>
      <c r="I123" s="19">
        <f t="shared" si="39"/>
        <v>0</v>
      </c>
      <c r="K123" s="2"/>
    </row>
    <row r="124" spans="2:11" ht="10.5" customHeight="1" x14ac:dyDescent="0.25">
      <c r="B124" s="16"/>
      <c r="C124" s="17" t="s">
        <v>52</v>
      </c>
      <c r="D124" s="18">
        <v>0</v>
      </c>
      <c r="E124" s="19">
        <v>0</v>
      </c>
      <c r="F124" s="19">
        <f t="shared" si="37"/>
        <v>0</v>
      </c>
      <c r="G124" s="19">
        <v>0</v>
      </c>
      <c r="H124" s="19">
        <f t="shared" si="38"/>
        <v>0</v>
      </c>
      <c r="I124" s="19">
        <f t="shared" si="39"/>
        <v>0</v>
      </c>
      <c r="K124" s="2"/>
    </row>
    <row r="125" spans="2:11" ht="10.5" customHeight="1" x14ac:dyDescent="0.25">
      <c r="B125" s="16"/>
      <c r="C125" s="17" t="s">
        <v>53</v>
      </c>
      <c r="D125" s="18">
        <v>0</v>
      </c>
      <c r="E125" s="19">
        <v>0</v>
      </c>
      <c r="F125" s="19">
        <f t="shared" si="37"/>
        <v>0</v>
      </c>
      <c r="G125" s="19">
        <v>0</v>
      </c>
      <c r="H125" s="19">
        <f t="shared" si="38"/>
        <v>0</v>
      </c>
      <c r="I125" s="19">
        <f t="shared" si="39"/>
        <v>0</v>
      </c>
      <c r="K125" s="2"/>
    </row>
    <row r="126" spans="2:11" x14ac:dyDescent="0.25">
      <c r="B126" s="12" t="s">
        <v>54</v>
      </c>
      <c r="C126" s="13"/>
      <c r="D126" s="14">
        <f>SUM(D127:D135)</f>
        <v>1483.6200000000001</v>
      </c>
      <c r="E126" s="14">
        <f>SUM(E127:E135)</f>
        <v>9107.2518899999995</v>
      </c>
      <c r="F126" s="14">
        <f t="shared" si="37"/>
        <v>10590.87189</v>
      </c>
      <c r="G126" s="14">
        <f>SUM(G127:G135)</f>
        <v>0</v>
      </c>
      <c r="H126" s="14">
        <f>SUM(H127:H135)</f>
        <v>0</v>
      </c>
      <c r="I126" s="14">
        <f t="shared" si="39"/>
        <v>10590.87189</v>
      </c>
      <c r="K126" s="2"/>
    </row>
    <row r="127" spans="2:11" ht="10.5" customHeight="1" x14ac:dyDescent="0.25">
      <c r="B127" s="16"/>
      <c r="C127" s="17" t="s">
        <v>55</v>
      </c>
      <c r="D127" s="18">
        <v>1099.52</v>
      </c>
      <c r="E127" s="19">
        <v>4793.2718099999993</v>
      </c>
      <c r="F127" s="19">
        <f t="shared" si="37"/>
        <v>5892.7918099999988</v>
      </c>
      <c r="G127" s="19">
        <v>0</v>
      </c>
      <c r="H127" s="19">
        <f t="shared" ref="H127:H135" si="40">G127</f>
        <v>0</v>
      </c>
      <c r="I127" s="19">
        <f t="shared" si="39"/>
        <v>5892.7918099999988</v>
      </c>
      <c r="K127" s="2"/>
    </row>
    <row r="128" spans="2:11" ht="10.5" customHeight="1" x14ac:dyDescent="0.25">
      <c r="B128" s="16"/>
      <c r="C128" s="17" t="s">
        <v>56</v>
      </c>
      <c r="D128" s="18">
        <v>14</v>
      </c>
      <c r="E128" s="19">
        <v>0</v>
      </c>
      <c r="F128" s="19">
        <f t="shared" si="37"/>
        <v>14</v>
      </c>
      <c r="G128" s="19">
        <v>0</v>
      </c>
      <c r="H128" s="19">
        <f t="shared" si="40"/>
        <v>0</v>
      </c>
      <c r="I128" s="19">
        <f t="shared" si="39"/>
        <v>14</v>
      </c>
      <c r="K128" s="2"/>
    </row>
    <row r="129" spans="2:12" ht="10.5" customHeight="1" x14ac:dyDescent="0.25">
      <c r="B129" s="16"/>
      <c r="C129" s="17" t="s">
        <v>57</v>
      </c>
      <c r="D129" s="18">
        <v>30.4</v>
      </c>
      <c r="E129" s="19">
        <v>0</v>
      </c>
      <c r="F129" s="19">
        <f t="shared" si="37"/>
        <v>30.4</v>
      </c>
      <c r="G129" s="19">
        <v>0</v>
      </c>
      <c r="H129" s="19">
        <f t="shared" si="40"/>
        <v>0</v>
      </c>
      <c r="I129" s="19">
        <f t="shared" si="39"/>
        <v>30.4</v>
      </c>
      <c r="K129" s="2"/>
    </row>
    <row r="130" spans="2:12" ht="10.5" customHeight="1" x14ac:dyDescent="0.25">
      <c r="B130" s="16"/>
      <c r="C130" s="17" t="s">
        <v>58</v>
      </c>
      <c r="D130" s="18">
        <v>339.7</v>
      </c>
      <c r="E130" s="19">
        <v>0</v>
      </c>
      <c r="F130" s="19">
        <f t="shared" si="37"/>
        <v>339.7</v>
      </c>
      <c r="G130" s="19">
        <v>0</v>
      </c>
      <c r="H130" s="19">
        <f t="shared" si="40"/>
        <v>0</v>
      </c>
      <c r="I130" s="19">
        <f t="shared" si="39"/>
        <v>339.7</v>
      </c>
      <c r="K130" s="2"/>
    </row>
    <row r="131" spans="2:12" ht="10.5" customHeight="1" x14ac:dyDescent="0.25">
      <c r="B131" s="16"/>
      <c r="C131" s="17" t="s">
        <v>59</v>
      </c>
      <c r="D131" s="18">
        <v>0</v>
      </c>
      <c r="E131" s="19">
        <v>0</v>
      </c>
      <c r="F131" s="19">
        <f t="shared" si="37"/>
        <v>0</v>
      </c>
      <c r="G131" s="19">
        <v>0</v>
      </c>
      <c r="H131" s="19">
        <f t="shared" si="40"/>
        <v>0</v>
      </c>
      <c r="I131" s="19">
        <f t="shared" si="39"/>
        <v>0</v>
      </c>
      <c r="K131" s="2"/>
    </row>
    <row r="132" spans="2:12" ht="10.5" customHeight="1" x14ac:dyDescent="0.25">
      <c r="B132" s="16"/>
      <c r="C132" s="17" t="s">
        <v>60</v>
      </c>
      <c r="D132" s="18">
        <v>0</v>
      </c>
      <c r="E132" s="19">
        <v>0</v>
      </c>
      <c r="F132" s="19">
        <f t="shared" si="37"/>
        <v>0</v>
      </c>
      <c r="G132" s="19">
        <v>0</v>
      </c>
      <c r="H132" s="19">
        <f t="shared" si="40"/>
        <v>0</v>
      </c>
      <c r="I132" s="19">
        <f t="shared" si="39"/>
        <v>0</v>
      </c>
      <c r="K132" s="2"/>
    </row>
    <row r="133" spans="2:12" ht="10.5" customHeight="1" x14ac:dyDescent="0.25">
      <c r="B133" s="16"/>
      <c r="C133" s="17" t="s">
        <v>61</v>
      </c>
      <c r="D133" s="18">
        <v>0</v>
      </c>
      <c r="E133" s="19">
        <v>0</v>
      </c>
      <c r="F133" s="19">
        <f t="shared" si="37"/>
        <v>0</v>
      </c>
      <c r="G133" s="19">
        <v>0</v>
      </c>
      <c r="H133" s="19">
        <f t="shared" si="40"/>
        <v>0</v>
      </c>
      <c r="I133" s="19">
        <f t="shared" si="39"/>
        <v>0</v>
      </c>
      <c r="K133" s="2"/>
    </row>
    <row r="134" spans="2:12" ht="10.5" customHeight="1" x14ac:dyDescent="0.25">
      <c r="B134" s="16"/>
      <c r="C134" s="17" t="s">
        <v>62</v>
      </c>
      <c r="D134" s="18">
        <v>0</v>
      </c>
      <c r="E134" s="19">
        <v>0</v>
      </c>
      <c r="F134" s="19">
        <f t="shared" si="37"/>
        <v>0</v>
      </c>
      <c r="G134" s="19">
        <v>0</v>
      </c>
      <c r="H134" s="19">
        <f t="shared" si="40"/>
        <v>0</v>
      </c>
      <c r="I134" s="19">
        <f t="shared" si="39"/>
        <v>0</v>
      </c>
      <c r="K134" s="2"/>
    </row>
    <row r="135" spans="2:12" ht="10.5" customHeight="1" x14ac:dyDescent="0.25">
      <c r="B135" s="16"/>
      <c r="C135" s="17" t="s">
        <v>63</v>
      </c>
      <c r="D135" s="18">
        <v>0</v>
      </c>
      <c r="E135" s="19">
        <v>4313.9800800000003</v>
      </c>
      <c r="F135" s="19">
        <f t="shared" si="37"/>
        <v>4313.9800800000003</v>
      </c>
      <c r="G135" s="19">
        <v>0</v>
      </c>
      <c r="H135" s="19">
        <f t="shared" si="40"/>
        <v>0</v>
      </c>
      <c r="I135" s="19">
        <f t="shared" si="39"/>
        <v>4313.9800800000003</v>
      </c>
      <c r="K135" s="2"/>
    </row>
    <row r="136" spans="2:12" x14ac:dyDescent="0.25">
      <c r="B136" s="12" t="s">
        <v>64</v>
      </c>
      <c r="C136" s="13"/>
      <c r="D136" s="14">
        <f>SUM(D137:D139)</f>
        <v>4202901.4000000004</v>
      </c>
      <c r="E136" s="14">
        <f>SUM(E137:E139)</f>
        <v>0</v>
      </c>
      <c r="F136" s="14">
        <f>SUM(F137:F139)</f>
        <v>4202901.4000000004</v>
      </c>
      <c r="G136" s="14">
        <f>SUM(G137:G139)</f>
        <v>3711821.51988</v>
      </c>
      <c r="H136" s="14">
        <f>SUM(H137:H139)</f>
        <v>3711821.51988</v>
      </c>
      <c r="I136" s="14">
        <f t="shared" si="39"/>
        <v>491079.88012000034</v>
      </c>
      <c r="K136" s="2"/>
      <c r="L136" s="15"/>
    </row>
    <row r="137" spans="2:12" ht="10.5" customHeight="1" x14ac:dyDescent="0.25">
      <c r="B137" s="16"/>
      <c r="C137" s="17" t="s">
        <v>65</v>
      </c>
      <c r="D137" s="18">
        <v>4202901.4000000004</v>
      </c>
      <c r="E137" s="19">
        <v>0</v>
      </c>
      <c r="F137" s="19">
        <f>+D137+E137</f>
        <v>4202901.4000000004</v>
      </c>
      <c r="G137" s="19">
        <v>3711821.51988</v>
      </c>
      <c r="H137" s="19">
        <f>G137</f>
        <v>3711821.51988</v>
      </c>
      <c r="I137" s="19">
        <f t="shared" si="39"/>
        <v>491079.88012000034</v>
      </c>
      <c r="K137" s="2"/>
    </row>
    <row r="138" spans="2:12" ht="10.5" customHeight="1" x14ac:dyDescent="0.25">
      <c r="B138" s="16"/>
      <c r="C138" s="17" t="s">
        <v>66</v>
      </c>
      <c r="D138" s="18">
        <v>0</v>
      </c>
      <c r="E138" s="19">
        <v>0</v>
      </c>
      <c r="F138" s="19">
        <f>+D138+E138</f>
        <v>0</v>
      </c>
      <c r="G138" s="19">
        <v>0</v>
      </c>
      <c r="H138" s="19">
        <f>G138</f>
        <v>0</v>
      </c>
      <c r="I138" s="19">
        <f t="shared" si="39"/>
        <v>0</v>
      </c>
      <c r="K138" s="2"/>
    </row>
    <row r="139" spans="2:12" ht="10.5" customHeight="1" x14ac:dyDescent="0.25">
      <c r="B139" s="16"/>
      <c r="C139" s="17" t="s">
        <v>67</v>
      </c>
      <c r="D139" s="18">
        <v>0</v>
      </c>
      <c r="E139" s="19">
        <v>0</v>
      </c>
      <c r="F139" s="19">
        <f>+D139+E139</f>
        <v>0</v>
      </c>
      <c r="G139" s="19">
        <v>0</v>
      </c>
      <c r="H139" s="19">
        <f>G139</f>
        <v>0</v>
      </c>
      <c r="I139" s="19">
        <f t="shared" si="39"/>
        <v>0</v>
      </c>
      <c r="K139" s="2"/>
    </row>
    <row r="140" spans="2:12" ht="11.25" customHeight="1" x14ac:dyDescent="0.25">
      <c r="B140" s="12" t="s">
        <v>68</v>
      </c>
      <c r="C140" s="13"/>
      <c r="D140" s="14">
        <f>SUM(D141:D148)</f>
        <v>0</v>
      </c>
      <c r="E140" s="14">
        <f>SUM(E141:E148)</f>
        <v>0</v>
      </c>
      <c r="F140" s="14">
        <f>SUM(F141:F148)</f>
        <v>0</v>
      </c>
      <c r="G140" s="14">
        <f>SUM(G141:G148)</f>
        <v>0</v>
      </c>
      <c r="H140" s="14">
        <f>SUM(H141:H148)</f>
        <v>0</v>
      </c>
      <c r="I140" s="14">
        <f t="shared" si="39"/>
        <v>0</v>
      </c>
      <c r="K140" s="2"/>
    </row>
    <row r="141" spans="2:12" ht="10.5" customHeight="1" x14ac:dyDescent="0.25">
      <c r="B141" s="16"/>
      <c r="C141" s="17" t="s">
        <v>69</v>
      </c>
      <c r="D141" s="18">
        <v>0</v>
      </c>
      <c r="E141" s="19">
        <v>0</v>
      </c>
      <c r="F141" s="19">
        <f t="shared" ref="F141:F148" si="41">+D141+E141</f>
        <v>0</v>
      </c>
      <c r="G141" s="19">
        <v>0</v>
      </c>
      <c r="H141" s="19">
        <f t="shared" ref="H141:H148" si="42">G141</f>
        <v>0</v>
      </c>
      <c r="I141" s="19">
        <f t="shared" si="39"/>
        <v>0</v>
      </c>
      <c r="K141" s="2"/>
    </row>
    <row r="142" spans="2:12" ht="10.5" customHeight="1" x14ac:dyDescent="0.25">
      <c r="B142" s="16"/>
      <c r="C142" s="17" t="s">
        <v>70</v>
      </c>
      <c r="D142" s="18">
        <v>0</v>
      </c>
      <c r="E142" s="19">
        <v>0</v>
      </c>
      <c r="F142" s="19">
        <f t="shared" si="41"/>
        <v>0</v>
      </c>
      <c r="G142" s="19">
        <v>0</v>
      </c>
      <c r="H142" s="19">
        <f t="shared" si="42"/>
        <v>0</v>
      </c>
      <c r="I142" s="19">
        <f t="shared" si="39"/>
        <v>0</v>
      </c>
      <c r="K142" s="2"/>
    </row>
    <row r="143" spans="2:12" ht="10.5" customHeight="1" x14ac:dyDescent="0.25">
      <c r="B143" s="16"/>
      <c r="C143" s="17" t="s">
        <v>71</v>
      </c>
      <c r="D143" s="18">
        <v>0</v>
      </c>
      <c r="E143" s="19">
        <v>0</v>
      </c>
      <c r="F143" s="19">
        <f t="shared" si="41"/>
        <v>0</v>
      </c>
      <c r="G143" s="19">
        <v>0</v>
      </c>
      <c r="H143" s="19">
        <f t="shared" si="42"/>
        <v>0</v>
      </c>
      <c r="I143" s="19">
        <f t="shared" si="39"/>
        <v>0</v>
      </c>
      <c r="K143" s="2"/>
    </row>
    <row r="144" spans="2:12" ht="10.5" customHeight="1" x14ac:dyDescent="0.25">
      <c r="B144" s="16"/>
      <c r="C144" s="17" t="s">
        <v>72</v>
      </c>
      <c r="D144" s="18">
        <v>0</v>
      </c>
      <c r="E144" s="19">
        <v>0</v>
      </c>
      <c r="F144" s="19">
        <f t="shared" si="41"/>
        <v>0</v>
      </c>
      <c r="G144" s="19">
        <v>0</v>
      </c>
      <c r="H144" s="19">
        <f t="shared" si="42"/>
        <v>0</v>
      </c>
      <c r="I144" s="19">
        <f t="shared" si="39"/>
        <v>0</v>
      </c>
      <c r="K144" s="2"/>
    </row>
    <row r="145" spans="2:11" ht="10.5" customHeight="1" x14ac:dyDescent="0.25">
      <c r="B145" s="16"/>
      <c r="C145" s="17" t="s">
        <v>73</v>
      </c>
      <c r="D145" s="18">
        <v>0</v>
      </c>
      <c r="E145" s="19">
        <v>0</v>
      </c>
      <c r="F145" s="19">
        <f t="shared" si="41"/>
        <v>0</v>
      </c>
      <c r="G145" s="19">
        <v>0</v>
      </c>
      <c r="H145" s="19">
        <f t="shared" si="42"/>
        <v>0</v>
      </c>
      <c r="I145" s="19">
        <f t="shared" si="39"/>
        <v>0</v>
      </c>
      <c r="K145" s="2"/>
    </row>
    <row r="146" spans="2:11" ht="10.5" customHeight="1" x14ac:dyDescent="0.25">
      <c r="B146" s="16"/>
      <c r="C146" s="17" t="s">
        <v>74</v>
      </c>
      <c r="D146" s="18">
        <v>0</v>
      </c>
      <c r="E146" s="19">
        <v>0</v>
      </c>
      <c r="F146" s="19">
        <f t="shared" si="41"/>
        <v>0</v>
      </c>
      <c r="G146" s="19">
        <v>0</v>
      </c>
      <c r="H146" s="19">
        <f t="shared" si="42"/>
        <v>0</v>
      </c>
      <c r="I146" s="19">
        <f t="shared" si="39"/>
        <v>0</v>
      </c>
      <c r="K146" s="2"/>
    </row>
    <row r="147" spans="2:11" ht="10.5" customHeight="1" x14ac:dyDescent="0.25">
      <c r="B147" s="16"/>
      <c r="C147" s="17" t="s">
        <v>75</v>
      </c>
      <c r="D147" s="18">
        <v>0</v>
      </c>
      <c r="E147" s="19">
        <v>0</v>
      </c>
      <c r="F147" s="19">
        <f t="shared" si="41"/>
        <v>0</v>
      </c>
      <c r="G147" s="19">
        <v>0</v>
      </c>
      <c r="H147" s="19">
        <f t="shared" si="42"/>
        <v>0</v>
      </c>
      <c r="I147" s="19">
        <f t="shared" si="39"/>
        <v>0</v>
      </c>
      <c r="K147" s="2"/>
    </row>
    <row r="148" spans="2:11" ht="10.5" customHeight="1" x14ac:dyDescent="0.25">
      <c r="B148" s="16"/>
      <c r="C148" s="17" t="s">
        <v>76</v>
      </c>
      <c r="D148" s="18">
        <v>0</v>
      </c>
      <c r="E148" s="19">
        <v>0</v>
      </c>
      <c r="F148" s="19">
        <f t="shared" si="41"/>
        <v>0</v>
      </c>
      <c r="G148" s="19">
        <v>0</v>
      </c>
      <c r="H148" s="19">
        <f t="shared" si="42"/>
        <v>0</v>
      </c>
      <c r="I148" s="19">
        <f t="shared" si="39"/>
        <v>0</v>
      </c>
      <c r="K148" s="2"/>
    </row>
    <row r="149" spans="2:11" ht="10.5" customHeight="1" x14ac:dyDescent="0.25">
      <c r="B149" s="12" t="s">
        <v>77</v>
      </c>
      <c r="C149" s="13"/>
      <c r="D149" s="14">
        <f>SUM(D150:D152)</f>
        <v>18561811.260000002</v>
      </c>
      <c r="E149" s="14">
        <f>SUM(E150:E152)</f>
        <v>0</v>
      </c>
      <c r="F149" s="14">
        <f>SUM(F150:F152)</f>
        <v>18561811.260000002</v>
      </c>
      <c r="G149" s="14">
        <f>SUM(G150:G152)</f>
        <v>15601430.287560001</v>
      </c>
      <c r="H149" s="14">
        <f>SUM(H150:H152)</f>
        <v>15601430.287560001</v>
      </c>
      <c r="I149" s="14">
        <f t="shared" si="39"/>
        <v>2960380.9724400006</v>
      </c>
      <c r="K149" s="2"/>
    </row>
    <row r="150" spans="2:11" ht="10.5" customHeight="1" x14ac:dyDescent="0.25">
      <c r="B150" s="16"/>
      <c r="C150" s="17" t="s">
        <v>78</v>
      </c>
      <c r="D150" s="18">
        <v>92818.76</v>
      </c>
      <c r="E150" s="19">
        <v>0</v>
      </c>
      <c r="F150" s="19">
        <f>+D150+E150</f>
        <v>92818.76</v>
      </c>
      <c r="G150" s="19">
        <v>0</v>
      </c>
      <c r="H150" s="19">
        <f>G150</f>
        <v>0</v>
      </c>
      <c r="I150" s="19">
        <f t="shared" si="39"/>
        <v>92818.76</v>
      </c>
      <c r="K150" s="2"/>
    </row>
    <row r="151" spans="2:11" ht="10.5" customHeight="1" x14ac:dyDescent="0.25">
      <c r="B151" s="16"/>
      <c r="C151" s="17" t="s">
        <v>79</v>
      </c>
      <c r="D151" s="18">
        <v>18468992.5</v>
      </c>
      <c r="E151" s="19">
        <v>0</v>
      </c>
      <c r="F151" s="19">
        <f>+D151+E151</f>
        <v>18468992.5</v>
      </c>
      <c r="G151" s="19">
        <v>15599130.694</v>
      </c>
      <c r="H151" s="19">
        <f>15599130.694</f>
        <v>15599130.694</v>
      </c>
      <c r="I151" s="19">
        <f t="shared" si="39"/>
        <v>2869861.8059999999</v>
      </c>
      <c r="K151" s="2"/>
    </row>
    <row r="152" spans="2:11" ht="10.5" customHeight="1" x14ac:dyDescent="0.25">
      <c r="B152" s="16"/>
      <c r="C152" s="17" t="s">
        <v>80</v>
      </c>
      <c r="D152" s="18">
        <v>0</v>
      </c>
      <c r="E152" s="19">
        <v>0</v>
      </c>
      <c r="F152" s="19">
        <f>+D152+E152</f>
        <v>0</v>
      </c>
      <c r="G152" s="19">
        <v>2299.5935600000003</v>
      </c>
      <c r="H152" s="19">
        <f>G152</f>
        <v>2299.5935600000003</v>
      </c>
      <c r="I152" s="19">
        <f t="shared" si="39"/>
        <v>-2299.5935600000003</v>
      </c>
      <c r="K152" s="2"/>
    </row>
    <row r="153" spans="2:11" ht="12.75" customHeight="1" x14ac:dyDescent="0.25">
      <c r="B153" s="12" t="s">
        <v>81</v>
      </c>
      <c r="C153" s="13"/>
      <c r="D153" s="14">
        <f>SUM(D154:D160)</f>
        <v>0</v>
      </c>
      <c r="E153" s="14">
        <f>SUM(E154:E160)</f>
        <v>0</v>
      </c>
      <c r="F153" s="14">
        <f>SUM(F154:F160)</f>
        <v>0</v>
      </c>
      <c r="G153" s="14">
        <f>SUM(G154:G160)</f>
        <v>217275.28284</v>
      </c>
      <c r="H153" s="14">
        <f>SUM(H154:H160)</f>
        <v>217275.28284</v>
      </c>
      <c r="I153" s="14">
        <f t="shared" si="39"/>
        <v>-217275.28284</v>
      </c>
      <c r="K153" s="2"/>
    </row>
    <row r="154" spans="2:11" ht="10.5" customHeight="1" x14ac:dyDescent="0.25">
      <c r="B154" s="16"/>
      <c r="C154" s="17" t="s">
        <v>82</v>
      </c>
      <c r="D154" s="18">
        <v>0</v>
      </c>
      <c r="E154" s="19">
        <v>0</v>
      </c>
      <c r="F154" s="19">
        <f t="shared" ref="F154:F160" si="43">+D154+E154</f>
        <v>0</v>
      </c>
      <c r="G154" s="19">
        <v>0</v>
      </c>
      <c r="H154" s="19">
        <f t="shared" ref="H154:H160" si="44">G154</f>
        <v>0</v>
      </c>
      <c r="I154" s="19">
        <f t="shared" si="39"/>
        <v>0</v>
      </c>
      <c r="K154" s="2"/>
    </row>
    <row r="155" spans="2:11" ht="10.5" customHeight="1" x14ac:dyDescent="0.25">
      <c r="B155" s="16"/>
      <c r="C155" s="17" t="s">
        <v>83</v>
      </c>
      <c r="D155" s="18">
        <v>0</v>
      </c>
      <c r="E155" s="19">
        <v>0</v>
      </c>
      <c r="F155" s="19">
        <f t="shared" si="43"/>
        <v>0</v>
      </c>
      <c r="G155" s="19">
        <v>217275.28284</v>
      </c>
      <c r="H155" s="19">
        <f t="shared" si="44"/>
        <v>217275.28284</v>
      </c>
      <c r="I155" s="19">
        <f t="shared" si="39"/>
        <v>-217275.28284</v>
      </c>
      <c r="K155" s="2"/>
    </row>
    <row r="156" spans="2:11" ht="10.5" customHeight="1" x14ac:dyDescent="0.25">
      <c r="B156" s="16"/>
      <c r="C156" s="17" t="s">
        <v>84</v>
      </c>
      <c r="D156" s="18">
        <v>0</v>
      </c>
      <c r="E156" s="19">
        <v>0</v>
      </c>
      <c r="F156" s="19">
        <f t="shared" si="43"/>
        <v>0</v>
      </c>
      <c r="G156" s="19">
        <v>0</v>
      </c>
      <c r="H156" s="19">
        <f t="shared" si="44"/>
        <v>0</v>
      </c>
      <c r="I156" s="19">
        <f t="shared" si="39"/>
        <v>0</v>
      </c>
      <c r="K156" s="2"/>
    </row>
    <row r="157" spans="2:11" ht="10.5" customHeight="1" x14ac:dyDescent="0.25">
      <c r="B157" s="16"/>
      <c r="C157" s="17" t="s">
        <v>85</v>
      </c>
      <c r="D157" s="18">
        <v>0</v>
      </c>
      <c r="E157" s="19">
        <v>0</v>
      </c>
      <c r="F157" s="19">
        <f t="shared" si="43"/>
        <v>0</v>
      </c>
      <c r="G157" s="19">
        <v>0</v>
      </c>
      <c r="H157" s="19">
        <f t="shared" si="44"/>
        <v>0</v>
      </c>
      <c r="I157" s="19">
        <f t="shared" si="39"/>
        <v>0</v>
      </c>
      <c r="K157" s="2"/>
    </row>
    <row r="158" spans="2:11" ht="10.5" customHeight="1" x14ac:dyDescent="0.25">
      <c r="B158" s="16"/>
      <c r="C158" s="17" t="s">
        <v>86</v>
      </c>
      <c r="D158" s="18">
        <v>0</v>
      </c>
      <c r="E158" s="19">
        <v>0</v>
      </c>
      <c r="F158" s="19">
        <f t="shared" si="43"/>
        <v>0</v>
      </c>
      <c r="G158" s="19">
        <v>0</v>
      </c>
      <c r="H158" s="19">
        <f t="shared" si="44"/>
        <v>0</v>
      </c>
      <c r="I158" s="19">
        <f t="shared" si="39"/>
        <v>0</v>
      </c>
      <c r="K158" s="2"/>
    </row>
    <row r="159" spans="2:11" ht="10.5" customHeight="1" x14ac:dyDescent="0.25">
      <c r="B159" s="16"/>
      <c r="C159" s="17" t="s">
        <v>87</v>
      </c>
      <c r="D159" s="18">
        <v>0</v>
      </c>
      <c r="E159" s="19">
        <v>0</v>
      </c>
      <c r="F159" s="19">
        <f t="shared" si="43"/>
        <v>0</v>
      </c>
      <c r="G159" s="19">
        <v>0</v>
      </c>
      <c r="H159" s="19">
        <f t="shared" si="44"/>
        <v>0</v>
      </c>
      <c r="I159" s="19">
        <f t="shared" si="39"/>
        <v>0</v>
      </c>
      <c r="K159" s="2"/>
    </row>
    <row r="160" spans="2:11" ht="10.5" customHeight="1" x14ac:dyDescent="0.25">
      <c r="B160" s="16"/>
      <c r="C160" s="17" t="s">
        <v>88</v>
      </c>
      <c r="D160" s="18">
        <v>0</v>
      </c>
      <c r="E160" s="19">
        <v>0</v>
      </c>
      <c r="F160" s="19">
        <f t="shared" si="43"/>
        <v>0</v>
      </c>
      <c r="G160" s="19">
        <v>0</v>
      </c>
      <c r="H160" s="19">
        <f t="shared" si="44"/>
        <v>0</v>
      </c>
      <c r="I160" s="19">
        <f t="shared" si="39"/>
        <v>0</v>
      </c>
      <c r="K160" s="2"/>
    </row>
    <row r="161" spans="2:13" ht="1.5" customHeight="1" x14ac:dyDescent="0.25">
      <c r="B161" s="16"/>
      <c r="C161" s="17"/>
      <c r="D161" s="18"/>
      <c r="E161" s="19"/>
      <c r="F161" s="19"/>
      <c r="G161" s="19"/>
      <c r="H161" s="19"/>
      <c r="I161" s="19"/>
      <c r="K161" s="2"/>
    </row>
    <row r="162" spans="2:13" x14ac:dyDescent="0.25">
      <c r="B162" s="12" t="s">
        <v>90</v>
      </c>
      <c r="C162" s="13"/>
      <c r="D162" s="14">
        <f t="shared" ref="D162:G162" si="45">+D10+D87</f>
        <v>284609933.5</v>
      </c>
      <c r="E162" s="14">
        <f t="shared" si="45"/>
        <v>1928551.5947600002</v>
      </c>
      <c r="F162" s="14">
        <f t="shared" si="45"/>
        <v>286538485.09476</v>
      </c>
      <c r="G162" s="14">
        <f t="shared" si="45"/>
        <v>207534579.93693</v>
      </c>
      <c r="H162" s="14">
        <f>+H10+H87</f>
        <v>204339597.33306998</v>
      </c>
      <c r="I162" s="14">
        <f>+I10+I87</f>
        <v>79003905.15783</v>
      </c>
      <c r="M162" s="2"/>
    </row>
    <row r="163" spans="2:13" ht="3.75" customHeight="1" x14ac:dyDescent="0.25">
      <c r="B163" s="21"/>
      <c r="C163" s="22"/>
      <c r="D163" s="28"/>
      <c r="E163" s="28"/>
      <c r="F163" s="28"/>
      <c r="G163" s="28"/>
      <c r="H163" s="28"/>
      <c r="I163" s="28"/>
    </row>
    <row r="164" spans="2:13" x14ac:dyDescent="0.25">
      <c r="B164" s="29"/>
      <c r="C164" s="29"/>
      <c r="D164" s="30"/>
      <c r="E164" s="30"/>
      <c r="F164" s="30"/>
      <c r="G164" s="30"/>
      <c r="H164" s="30"/>
      <c r="I164" s="30"/>
    </row>
    <row r="165" spans="2:13" s="29" customFormat="1" x14ac:dyDescent="0.25">
      <c r="D165" s="30"/>
      <c r="E165" s="30"/>
      <c r="F165" s="30"/>
      <c r="G165" s="30"/>
      <c r="H165" s="31"/>
      <c r="I165" s="30"/>
      <c r="J165" s="30"/>
    </row>
    <row r="166" spans="2:13" s="29" customFormat="1" x14ac:dyDescent="0.25">
      <c r="D166" s="30"/>
      <c r="E166" s="30"/>
      <c r="F166" s="30"/>
      <c r="G166" s="30"/>
      <c r="H166" s="30"/>
      <c r="I166" s="30"/>
      <c r="J166" s="30"/>
    </row>
    <row r="167" spans="2:13" s="29" customFormat="1" x14ac:dyDescent="0.25">
      <c r="D167" s="30"/>
      <c r="E167" s="30"/>
      <c r="F167" s="30"/>
      <c r="G167" s="30"/>
      <c r="H167" s="30"/>
      <c r="I167" s="30"/>
      <c r="J167" s="30"/>
    </row>
    <row r="168" spans="2:13" s="29" customFormat="1" x14ac:dyDescent="0.25">
      <c r="D168" s="30"/>
      <c r="E168" s="30"/>
      <c r="F168" s="30"/>
      <c r="G168" s="30"/>
      <c r="H168" s="30"/>
      <c r="I168" s="30"/>
      <c r="J168" s="30"/>
    </row>
    <row r="169" spans="2:13" s="29" customFormat="1" x14ac:dyDescent="0.25">
      <c r="D169" s="30"/>
      <c r="E169" s="30"/>
      <c r="F169" s="30"/>
      <c r="G169" s="30"/>
      <c r="H169" s="30"/>
      <c r="I169" s="30"/>
      <c r="J169" s="30"/>
    </row>
    <row r="170" spans="2:13" s="29" customFormat="1" x14ac:dyDescent="0.25">
      <c r="D170" s="30"/>
      <c r="E170" s="30"/>
      <c r="F170" s="30"/>
      <c r="G170" s="30"/>
      <c r="H170" s="30"/>
      <c r="I170" s="30"/>
      <c r="J170" s="30"/>
    </row>
    <row r="171" spans="2:13" s="29" customFormat="1" x14ac:dyDescent="0.25">
      <c r="D171" s="30"/>
      <c r="E171" s="30"/>
      <c r="F171" s="30"/>
      <c r="G171" s="30"/>
      <c r="H171" s="30"/>
      <c r="I171" s="30"/>
      <c r="J171" s="30"/>
    </row>
    <row r="172" spans="2:13" s="29" customFormat="1" x14ac:dyDescent="0.25">
      <c r="D172" s="30"/>
      <c r="E172" s="30"/>
      <c r="F172" s="30"/>
      <c r="G172" s="30"/>
      <c r="H172" s="30"/>
      <c r="I172" s="30"/>
      <c r="J172" s="30"/>
    </row>
    <row r="173" spans="2:13" s="29" customFormat="1" x14ac:dyDescent="0.25">
      <c r="D173" s="30"/>
      <c r="E173" s="30"/>
      <c r="F173" s="30"/>
      <c r="G173" s="30"/>
      <c r="H173" s="30"/>
      <c r="I173" s="30"/>
      <c r="J173" s="30"/>
    </row>
    <row r="174" spans="2:13" s="29" customFormat="1" x14ac:dyDescent="0.25">
      <c r="D174" s="30"/>
      <c r="E174" s="30"/>
      <c r="F174" s="30"/>
      <c r="G174" s="30"/>
      <c r="H174" s="30"/>
      <c r="I174" s="30"/>
      <c r="J174" s="30"/>
    </row>
    <row r="175" spans="2:13" s="29" customFormat="1" x14ac:dyDescent="0.25">
      <c r="D175" s="30"/>
      <c r="E175" s="30"/>
      <c r="F175" s="30"/>
      <c r="G175" s="30"/>
      <c r="H175" s="30"/>
      <c r="I175" s="30"/>
      <c r="J175" s="30"/>
    </row>
    <row r="176" spans="2:13" x14ac:dyDescent="0.25">
      <c r="G176" s="30"/>
      <c r="H176" s="30"/>
      <c r="I176" s="30"/>
    </row>
    <row r="177" spans="7:9" x14ac:dyDescent="0.25">
      <c r="G177" s="30"/>
      <c r="H177" s="30"/>
      <c r="I177" s="30"/>
    </row>
    <row r="178" spans="7:9" x14ac:dyDescent="0.25">
      <c r="G178" s="30"/>
      <c r="H178" s="30"/>
      <c r="I178" s="30"/>
    </row>
    <row r="179" spans="7:9" x14ac:dyDescent="0.25">
      <c r="G179" s="30"/>
      <c r="H179" s="30"/>
      <c r="I179" s="30"/>
    </row>
  </sheetData>
  <mergeCells count="31">
    <mergeCell ref="B162:C162"/>
    <mergeCell ref="B116:C116"/>
    <mergeCell ref="B126:C126"/>
    <mergeCell ref="B136:C136"/>
    <mergeCell ref="B140:C140"/>
    <mergeCell ref="B149:C149"/>
    <mergeCell ref="B153:C153"/>
    <mergeCell ref="B72:C72"/>
    <mergeCell ref="B76:C76"/>
    <mergeCell ref="B87:C87"/>
    <mergeCell ref="B88:C88"/>
    <mergeCell ref="B96:C96"/>
    <mergeCell ref="B106:C106"/>
    <mergeCell ref="B19:C19"/>
    <mergeCell ref="B29:C29"/>
    <mergeCell ref="B39:C39"/>
    <mergeCell ref="B49:C49"/>
    <mergeCell ref="B59:C59"/>
    <mergeCell ref="B63:C63"/>
    <mergeCell ref="B7:I7"/>
    <mergeCell ref="B8:C9"/>
    <mergeCell ref="D8:H8"/>
    <mergeCell ref="I8:I9"/>
    <mergeCell ref="B10:C10"/>
    <mergeCell ref="B11:C11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scale="70" fitToHeight="2" orientation="portrait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6a ok DEF</vt:lpstr>
      <vt:lpstr>'FORMATO 6a ok DEF'!Títulos_a_imprimir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2022-10-31T19:30:05Z</cp:lastPrinted>
  <dcterms:created xsi:type="dcterms:W3CDTF">2022-10-31T19:29:30Z</dcterms:created>
  <dcterms:modified xsi:type="dcterms:W3CDTF">2022-10-31T19:30:36Z</dcterms:modified>
</cp:coreProperties>
</file>