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D63" i="1" l="1"/>
  <c r="D81" i="1"/>
  <c r="I84" i="1" l="1"/>
  <c r="I83" i="1"/>
  <c r="I78" i="1"/>
  <c r="I77" i="1"/>
  <c r="I75" i="1"/>
  <c r="I73" i="1"/>
  <c r="I72" i="1"/>
  <c r="I67" i="1"/>
  <c r="I58" i="1"/>
  <c r="I56" i="1"/>
  <c r="I55" i="1"/>
  <c r="I51" i="1"/>
  <c r="H45" i="1" l="1"/>
  <c r="H44" i="1"/>
  <c r="H39" i="1"/>
  <c r="H37" i="1"/>
  <c r="H34" i="1"/>
  <c r="H33" i="1"/>
  <c r="H29" i="1"/>
  <c r="H28" i="1"/>
  <c r="H27" i="1"/>
  <c r="H26" i="1"/>
  <c r="H25" i="1"/>
  <c r="H24" i="1"/>
  <c r="H21" i="1"/>
  <c r="H20" i="1"/>
  <c r="H18" i="1"/>
  <c r="H17" i="1"/>
  <c r="H16" i="1"/>
  <c r="H15" i="1"/>
  <c r="H14" i="1"/>
  <c r="G45" i="1"/>
  <c r="G44" i="1"/>
  <c r="G39" i="1"/>
  <c r="G37" i="1"/>
  <c r="G34" i="1"/>
  <c r="G33" i="1"/>
  <c r="G29" i="1"/>
  <c r="G28" i="1"/>
  <c r="G27" i="1"/>
  <c r="G26" i="1"/>
  <c r="G25" i="1"/>
  <c r="G24" i="1"/>
  <c r="G21" i="1"/>
  <c r="G20" i="1"/>
  <c r="G17" i="1"/>
  <c r="G16" i="1"/>
  <c r="G15" i="1"/>
  <c r="G14" i="1"/>
  <c r="D37" i="1"/>
  <c r="D65" i="1"/>
  <c r="D60" i="1" s="1"/>
  <c r="D80" i="1"/>
  <c r="D69" i="1"/>
  <c r="D45" i="1"/>
  <c r="D44" i="1"/>
  <c r="D43" i="1" s="1"/>
  <c r="D41" i="1"/>
  <c r="D40" i="1"/>
  <c r="D39" i="1"/>
  <c r="D38" i="1"/>
  <c r="D36" i="1"/>
  <c r="D35" i="1"/>
  <c r="D34" i="1" l="1"/>
  <c r="D33" i="1"/>
  <c r="D32" i="1" s="1"/>
  <c r="D30" i="1"/>
  <c r="D29" i="1"/>
  <c r="D28" i="1"/>
  <c r="D27" i="1"/>
  <c r="D26" i="1"/>
  <c r="D25" i="1"/>
  <c r="D24" i="1"/>
  <c r="D21" i="1"/>
  <c r="D19" i="1"/>
  <c r="D18" i="1"/>
  <c r="D17" i="1"/>
  <c r="D16" i="1"/>
  <c r="D15" i="1"/>
  <c r="D14" i="1"/>
  <c r="D23" i="1" l="1"/>
  <c r="F47" i="1"/>
  <c r="I47" i="1" s="1"/>
  <c r="F46" i="1"/>
  <c r="I46" i="1" s="1"/>
  <c r="F45" i="1"/>
  <c r="I45" i="1" s="1"/>
  <c r="F44" i="1"/>
  <c r="I44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1" i="1"/>
  <c r="I21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71" i="1" l="1"/>
  <c r="I71" i="1" s="1"/>
  <c r="F74" i="1"/>
  <c r="I74" i="1" s="1"/>
  <c r="F52" i="1"/>
  <c r="I52" i="1" s="1"/>
  <c r="F76" i="1" l="1"/>
  <c r="I76" i="1" s="1"/>
  <c r="F70" i="1"/>
  <c r="I70" i="1" s="1"/>
  <c r="F61" i="1"/>
  <c r="I61" i="1" s="1"/>
  <c r="D57" i="1" l="1"/>
  <c r="F54" i="1"/>
  <c r="I54" i="1" s="1"/>
  <c r="F53" i="1"/>
  <c r="I53" i="1" s="1"/>
  <c r="G60" i="1"/>
  <c r="H60" i="1"/>
  <c r="F64" i="1"/>
  <c r="I64" i="1" s="1"/>
  <c r="F81" i="1"/>
  <c r="I81" i="1" s="1"/>
  <c r="F82" i="1"/>
  <c r="I82" i="1" s="1"/>
  <c r="F62" i="1"/>
  <c r="I62" i="1" s="1"/>
  <c r="F63" i="1"/>
  <c r="I63" i="1" s="1"/>
  <c r="F65" i="1"/>
  <c r="I65" i="1" s="1"/>
  <c r="F57" i="1" l="1"/>
  <c r="I57" i="1" s="1"/>
  <c r="D50" i="1"/>
  <c r="D20" i="1"/>
  <c r="F66" i="1"/>
  <c r="H43" i="1"/>
  <c r="I80" i="1"/>
  <c r="H80" i="1"/>
  <c r="G80" i="1"/>
  <c r="F80" i="1"/>
  <c r="E80" i="1"/>
  <c r="I69" i="1"/>
  <c r="H69" i="1"/>
  <c r="G69" i="1"/>
  <c r="F69" i="1"/>
  <c r="E69" i="1"/>
  <c r="E60" i="1"/>
  <c r="E50" i="1"/>
  <c r="E49" i="1" s="1"/>
  <c r="I50" i="1"/>
  <c r="H50" i="1"/>
  <c r="G50" i="1"/>
  <c r="G43" i="1"/>
  <c r="E43" i="1"/>
  <c r="H32" i="1"/>
  <c r="G32" i="1"/>
  <c r="E32" i="1"/>
  <c r="H23" i="1"/>
  <c r="G23" i="1"/>
  <c r="E23" i="1"/>
  <c r="H13" i="1"/>
  <c r="G13" i="1"/>
  <c r="E13" i="1"/>
  <c r="E12" i="1" s="1"/>
  <c r="F43" i="1"/>
  <c r="I43" i="1"/>
  <c r="I23" i="1"/>
  <c r="F23" i="1"/>
  <c r="I32" i="1"/>
  <c r="F32" i="1"/>
  <c r="E86" i="1" l="1"/>
  <c r="D13" i="1"/>
  <c r="F20" i="1"/>
  <c r="F50" i="1"/>
  <c r="I60" i="1"/>
  <c r="I66" i="1"/>
  <c r="I49" i="1"/>
  <c r="F60" i="1"/>
  <c r="F49" i="1" s="1"/>
  <c r="G12" i="1"/>
  <c r="D12" i="1"/>
  <c r="D49" i="1"/>
  <c r="H49" i="1"/>
  <c r="G49" i="1"/>
  <c r="H12" i="1"/>
  <c r="I20" i="1" l="1"/>
  <c r="I13" i="1" s="1"/>
  <c r="I12" i="1" s="1"/>
  <c r="I86" i="1" s="1"/>
  <c r="F13" i="1"/>
  <c r="F12" i="1" s="1"/>
  <c r="D86" i="1"/>
  <c r="G86" i="1"/>
  <c r="F86" i="1"/>
  <c r="H86" i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<sst xmlns="http://schemas.openxmlformats.org/spreadsheetml/2006/main" count="83" uniqueCount="51">
  <si>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</si>
  <si>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</si>
  <si>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</si>
  <si>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</si>
  <si>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</si>
  <si>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</si>
  <si>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</si>
  <si>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</si>
  <si>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</si>
  <si>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</si>
  <si>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</si>
  <si>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</si>
  <si>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</si>
  <si>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</si>
  <si>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</si>
  <si>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</si>
  <si>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</si>
  <si>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</si>
  <si>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</si>
  <si>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</si>
  <si>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</si>
  <si>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</si>
  <si>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</si>
  <si>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</si>
  <si>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</si>
  <si>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</si>
  <si>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</si>
  <si>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</si>
  <si>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</si>
  <si>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</si>
  <si>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</si>
  <si>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</si>
  <si>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</si>
  <si>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</si>
  <si>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</si>
  <si>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</si>
  <si>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</si>
  <si>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</si>
  <si>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</si>
  <si>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</si>
  <si>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</si>
  <si>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</si>
  <si>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</si>
  <si>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</si>
  <si>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</si>
  <si>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</si>
  <si>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</si>
  <si>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</si>
  <si>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</si>
  <si>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2017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</si>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</sst>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view="pageBreakPreview" topLeftCell="A3" zoomScale="125" zoomScaleNormal="125" zoomScaleSheetLayoutView="125" workbookViewId="0">
      <selection activeCell="K9" sqref="K9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6384" width="11.42578125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40" t="s">
        <v>50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40" t="s">
        <v>49</v>
      </c>
      <c r="B7" s="41"/>
      <c r="C7" s="41"/>
      <c r="D7" s="41"/>
      <c r="E7" s="41"/>
      <c r="F7" s="41"/>
      <c r="G7" s="41"/>
      <c r="H7" s="41"/>
      <c r="I7" s="42"/>
    </row>
    <row r="8" spans="1:9" x14ac:dyDescent="0.25">
      <c r="A8" s="43" t="s">
        <v>5</v>
      </c>
      <c r="B8" s="44"/>
      <c r="C8" s="44"/>
      <c r="D8" s="44"/>
      <c r="E8" s="44"/>
      <c r="F8" s="44"/>
      <c r="G8" s="44"/>
      <c r="H8" s="44"/>
      <c r="I8" s="45"/>
    </row>
    <row r="9" spans="1:9" x14ac:dyDescent="0.25">
      <c r="A9" s="46" t="s">
        <v>6</v>
      </c>
      <c r="B9" s="46"/>
      <c r="C9" s="46"/>
      <c r="D9" s="47" t="s">
        <v>7</v>
      </c>
      <c r="E9" s="47"/>
      <c r="F9" s="47"/>
      <c r="G9" s="47"/>
      <c r="H9" s="47"/>
      <c r="I9" s="47" t="s">
        <v>8</v>
      </c>
    </row>
    <row r="10" spans="1:9" ht="16.5" x14ac:dyDescent="0.25">
      <c r="A10" s="46"/>
      <c r="B10" s="46"/>
      <c r="C10" s="46"/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  <c r="I10" s="47"/>
    </row>
    <row r="11" spans="1:9" x14ac:dyDescent="0.25">
      <c r="A11" s="31"/>
      <c r="B11" s="32"/>
      <c r="C11" s="33"/>
      <c r="D11" s="3"/>
      <c r="E11" s="3"/>
      <c r="F11" s="3"/>
      <c r="G11" s="3"/>
      <c r="H11" s="3"/>
      <c r="I11" s="3"/>
    </row>
    <row r="12" spans="1:9" ht="12" customHeight="1" x14ac:dyDescent="0.25">
      <c r="A12" s="34" t="s">
        <v>14</v>
      </c>
      <c r="B12" s="35"/>
      <c r="C12" s="36"/>
      <c r="D12" s="4">
        <f>+D13+D23+D32+D43</f>
        <v>135153900.139</v>
      </c>
      <c r="E12" s="4">
        <f t="shared" ref="E12:I12" si="0">+E13+E23+E32+E43</f>
        <v>2236609.4000000004</v>
      </c>
      <c r="F12" s="4">
        <f t="shared" si="0"/>
        <v>137390509.539</v>
      </c>
      <c r="G12" s="4">
        <f>+G13+G23+G32+G43</f>
        <v>143165171.40000001</v>
      </c>
      <c r="H12" s="4">
        <f t="shared" si="0"/>
        <v>140705595.19999999</v>
      </c>
      <c r="I12" s="4">
        <f t="shared" si="0"/>
        <v>-5774661.860999994</v>
      </c>
    </row>
    <row r="13" spans="1:9" ht="12" customHeight="1" x14ac:dyDescent="0.25">
      <c r="A13" s="5"/>
      <c r="B13" s="6" t="s">
        <v>15</v>
      </c>
      <c r="C13" s="7"/>
      <c r="D13" s="8">
        <f>SUM(D14:D21)</f>
        <v>32834955.514000002</v>
      </c>
      <c r="E13" s="8">
        <f t="shared" ref="E13:I13" si="1">SUM(E14:E21)</f>
        <v>-95000.9</v>
      </c>
      <c r="F13" s="8">
        <f t="shared" si="1"/>
        <v>32739954.614</v>
      </c>
      <c r="G13" s="8">
        <f t="shared" si="1"/>
        <v>34537299.300000004</v>
      </c>
      <c r="H13" s="8">
        <f t="shared" si="1"/>
        <v>33864674.5</v>
      </c>
      <c r="I13" s="8">
        <f t="shared" si="1"/>
        <v>-1797344.6860000009</v>
      </c>
    </row>
    <row r="14" spans="1:9" ht="12" customHeight="1" x14ac:dyDescent="0.25">
      <c r="A14" s="9"/>
      <c r="B14" s="10"/>
      <c r="C14" s="11" t="s">
        <v>16</v>
      </c>
      <c r="D14" s="12">
        <f>1675935.45-D51</f>
        <v>1675935.45</v>
      </c>
      <c r="E14" s="12">
        <v>0</v>
      </c>
      <c r="F14" s="13">
        <f>+D14+E14</f>
        <v>1675935.45</v>
      </c>
      <c r="G14" s="12">
        <f>1676639.1-G51</f>
        <v>1676639.1</v>
      </c>
      <c r="H14" s="12">
        <f>1676639.1-H51</f>
        <v>1676639.1</v>
      </c>
      <c r="I14" s="13">
        <f>+F14-G14</f>
        <v>-703.6500000001397</v>
      </c>
    </row>
    <row r="15" spans="1:9" ht="12" customHeight="1" x14ac:dyDescent="0.25">
      <c r="A15" s="9"/>
      <c r="B15" s="10"/>
      <c r="C15" s="11" t="s">
        <v>17</v>
      </c>
      <c r="D15" s="12">
        <f>9312083.281-D52</f>
        <v>9298728.5810000002</v>
      </c>
      <c r="E15" s="12">
        <v>-3091134.4</v>
      </c>
      <c r="F15" s="13">
        <f t="shared" ref="F15:F21" si="2">+D15+E15</f>
        <v>6207594.1809999999</v>
      </c>
      <c r="G15" s="12">
        <f>6139388.4-G52</f>
        <v>6126033.7000000002</v>
      </c>
      <c r="H15" s="12">
        <f>5977044-H52</f>
        <v>5963689.2999999998</v>
      </c>
      <c r="I15" s="13">
        <f t="shared" ref="I15:I21" si="3">+F15-G15</f>
        <v>81560.48099999968</v>
      </c>
    </row>
    <row r="16" spans="1:9" ht="12" customHeight="1" x14ac:dyDescent="0.25">
      <c r="A16" s="9"/>
      <c r="B16" s="10"/>
      <c r="C16" s="11" t="s">
        <v>18</v>
      </c>
      <c r="D16" s="12">
        <f>5941230.697-D53</f>
        <v>5895845.6969999997</v>
      </c>
      <c r="E16" s="12">
        <v>332610.09999999998</v>
      </c>
      <c r="F16" s="13">
        <f t="shared" si="2"/>
        <v>6228455.7969999993</v>
      </c>
      <c r="G16" s="12">
        <f>6283572.4-G53</f>
        <v>6242737.4000000004</v>
      </c>
      <c r="H16" s="12">
        <f>6210916-H53</f>
        <v>6170081</v>
      </c>
      <c r="I16" s="13">
        <f t="shared" si="3"/>
        <v>-14281.603000001051</v>
      </c>
    </row>
    <row r="17" spans="1:9" ht="12" customHeight="1" x14ac:dyDescent="0.25">
      <c r="A17" s="9"/>
      <c r="B17" s="10"/>
      <c r="C17" s="11" t="s">
        <v>19</v>
      </c>
      <c r="D17" s="12">
        <f>38081.236+D54</f>
        <v>48126.635999999999</v>
      </c>
      <c r="E17" s="12">
        <v>722.4</v>
      </c>
      <c r="F17" s="13">
        <f t="shared" si="2"/>
        <v>48849.036</v>
      </c>
      <c r="G17" s="12">
        <f>48974.4-G54</f>
        <v>38929</v>
      </c>
      <c r="H17" s="12">
        <f>48672.5-H54</f>
        <v>38627.1</v>
      </c>
      <c r="I17" s="13">
        <f t="shared" si="3"/>
        <v>9920.0360000000001</v>
      </c>
    </row>
    <row r="18" spans="1:9" ht="12" customHeight="1" x14ac:dyDescent="0.25">
      <c r="A18" s="9"/>
      <c r="B18" s="10"/>
      <c r="C18" s="11" t="s">
        <v>20</v>
      </c>
      <c r="D18" s="12">
        <f>8912697.637-D55</f>
        <v>8912697.6370000001</v>
      </c>
      <c r="E18" s="12">
        <v>-536265.9</v>
      </c>
      <c r="F18" s="13">
        <f t="shared" si="2"/>
        <v>8376431.7369999997</v>
      </c>
      <c r="G18" s="12">
        <v>7521328</v>
      </c>
      <c r="H18" s="12">
        <f>7428592.3-H55</f>
        <v>7428592.2999999998</v>
      </c>
      <c r="I18" s="13">
        <f t="shared" si="3"/>
        <v>855103.73699999973</v>
      </c>
    </row>
    <row r="19" spans="1:9" ht="12" customHeight="1" x14ac:dyDescent="0.25">
      <c r="A19" s="9"/>
      <c r="B19" s="10"/>
      <c r="C19" s="11" t="s">
        <v>21</v>
      </c>
      <c r="D19" s="12">
        <f>0-D56</f>
        <v>0</v>
      </c>
      <c r="E19" s="12">
        <v>0</v>
      </c>
      <c r="F19" s="13">
        <f t="shared" si="2"/>
        <v>0</v>
      </c>
      <c r="G19" s="12">
        <v>0</v>
      </c>
      <c r="H19" s="12">
        <v>0</v>
      </c>
      <c r="I19" s="13">
        <f t="shared" si="3"/>
        <v>0</v>
      </c>
    </row>
    <row r="20" spans="1:9" ht="12" customHeight="1" x14ac:dyDescent="0.25">
      <c r="A20" s="9"/>
      <c r="B20" s="10"/>
      <c r="C20" s="11" t="s">
        <v>22</v>
      </c>
      <c r="D20" s="12">
        <f>11070882.671-D57</f>
        <v>6242217.2710000006</v>
      </c>
      <c r="E20" s="12">
        <v>3129981.8</v>
      </c>
      <c r="F20" s="13">
        <f t="shared" si="2"/>
        <v>9372199.0710000005</v>
      </c>
      <c r="G20" s="12">
        <f>14769278-G57</f>
        <v>12089826.1</v>
      </c>
      <c r="H20" s="12">
        <f>14490323.2-H57</f>
        <v>11810871.299999999</v>
      </c>
      <c r="I20" s="13">
        <f t="shared" si="3"/>
        <v>-2717627.0289999992</v>
      </c>
    </row>
    <row r="21" spans="1:9" ht="12" customHeight="1" x14ac:dyDescent="0.25">
      <c r="A21" s="9"/>
      <c r="B21" s="10"/>
      <c r="C21" s="11" t="s">
        <v>23</v>
      </c>
      <c r="D21" s="12">
        <f>761404.242-D58</f>
        <v>761404.24199999997</v>
      </c>
      <c r="E21" s="12">
        <v>69085.100000000006</v>
      </c>
      <c r="F21" s="13">
        <f t="shared" si="2"/>
        <v>830489.34199999995</v>
      </c>
      <c r="G21" s="12">
        <f>844140-G58</f>
        <v>841806</v>
      </c>
      <c r="H21" s="12">
        <f>778508.4-H58</f>
        <v>776174.4</v>
      </c>
      <c r="I21" s="13">
        <f t="shared" si="3"/>
        <v>-11316.658000000054</v>
      </c>
    </row>
    <row r="22" spans="1:9" ht="8.1" customHeight="1" x14ac:dyDescent="0.25">
      <c r="A22" s="14"/>
      <c r="B22" s="15"/>
      <c r="C22" s="16"/>
      <c r="D22" s="8"/>
      <c r="E22" s="8"/>
      <c r="F22" s="13"/>
      <c r="G22" s="8"/>
      <c r="H22" s="8"/>
      <c r="I22" s="13"/>
    </row>
    <row r="23" spans="1:9" ht="12" customHeight="1" x14ac:dyDescent="0.25">
      <c r="A23" s="5"/>
      <c r="B23" s="6" t="s">
        <v>24</v>
      </c>
      <c r="C23" s="7"/>
      <c r="D23" s="8">
        <f>SUM(D24:D30)</f>
        <v>60567050.582999989</v>
      </c>
      <c r="E23" s="8">
        <f t="shared" ref="E23:I23" si="4">SUM(E24:E30)</f>
        <v>1217595.2</v>
      </c>
      <c r="F23" s="8">
        <f t="shared" si="4"/>
        <v>61784645.783</v>
      </c>
      <c r="G23" s="8">
        <f t="shared" si="4"/>
        <v>71119200.700000003</v>
      </c>
      <c r="H23" s="8">
        <f t="shared" si="4"/>
        <v>69868216.899999991</v>
      </c>
      <c r="I23" s="8">
        <f t="shared" si="4"/>
        <v>-9334554.9169999938</v>
      </c>
    </row>
    <row r="24" spans="1:9" ht="12" customHeight="1" x14ac:dyDescent="0.25">
      <c r="A24" s="9"/>
      <c r="B24" s="10"/>
      <c r="C24" s="11" t="s">
        <v>25</v>
      </c>
      <c r="D24" s="12">
        <f>2929048.329-D61</f>
        <v>2737931.8289999999</v>
      </c>
      <c r="E24" s="12">
        <v>178666.7</v>
      </c>
      <c r="F24" s="13">
        <f t="shared" ref="F24:F30" si="5">+D24+E24</f>
        <v>2916598.5290000001</v>
      </c>
      <c r="G24" s="12">
        <f>2796609.9-G61</f>
        <v>2153017.0999999996</v>
      </c>
      <c r="H24" s="12">
        <f>2556056.1-H61</f>
        <v>1912463.3</v>
      </c>
      <c r="I24" s="13">
        <f t="shared" ref="I24:I30" si="6">+F24-G24</f>
        <v>763581.42900000047</v>
      </c>
    </row>
    <row r="25" spans="1:9" ht="12" customHeight="1" x14ac:dyDescent="0.25">
      <c r="A25" s="9"/>
      <c r="B25" s="10"/>
      <c r="C25" s="11" t="s">
        <v>26</v>
      </c>
      <c r="D25" s="12">
        <f>39537887.177-D62</f>
        <v>37136429.677000001</v>
      </c>
      <c r="E25" s="12">
        <v>-273410.3</v>
      </c>
      <c r="F25" s="13">
        <f t="shared" si="5"/>
        <v>36863019.377000004</v>
      </c>
      <c r="G25" s="12">
        <f>46844694.3-G62</f>
        <v>43211771.399999999</v>
      </c>
      <c r="H25" s="12">
        <f>46590968.8-H62</f>
        <v>42958045.899999999</v>
      </c>
      <c r="I25" s="13">
        <f t="shared" si="6"/>
        <v>-6348752.0229999945</v>
      </c>
    </row>
    <row r="26" spans="1:9" ht="12" customHeight="1" x14ac:dyDescent="0.25">
      <c r="A26" s="9"/>
      <c r="B26" s="10"/>
      <c r="C26" s="11" t="s">
        <v>27</v>
      </c>
      <c r="D26" s="12">
        <f>24747490.718-D63</f>
        <v>328689.71799999848</v>
      </c>
      <c r="E26" s="12">
        <v>22095.4</v>
      </c>
      <c r="F26" s="13">
        <f t="shared" si="5"/>
        <v>350785.1179999985</v>
      </c>
      <c r="G26" s="12">
        <f>26417107.1-G63</f>
        <v>7482801.5</v>
      </c>
      <c r="H26" s="12">
        <f>26174730.3-H63</f>
        <v>7240424.6999999993</v>
      </c>
      <c r="I26" s="13">
        <f t="shared" si="6"/>
        <v>-7132016.3820000011</v>
      </c>
    </row>
    <row r="27" spans="1:9" ht="12" customHeight="1" x14ac:dyDescent="0.25">
      <c r="A27" s="9"/>
      <c r="B27" s="10"/>
      <c r="C27" s="11" t="s">
        <v>28</v>
      </c>
      <c r="D27" s="12">
        <f>2202916.359-D64</f>
        <v>1978860.9590000003</v>
      </c>
      <c r="E27" s="12">
        <v>199836.9</v>
      </c>
      <c r="F27" s="13">
        <f t="shared" si="5"/>
        <v>2178697.8590000002</v>
      </c>
      <c r="G27" s="12">
        <f>2869003.8-G64</f>
        <v>2570936</v>
      </c>
      <c r="H27" s="12">
        <f>2665836.4-H64</f>
        <v>2367768.6</v>
      </c>
      <c r="I27" s="13">
        <f t="shared" si="6"/>
        <v>-392238.14099999983</v>
      </c>
    </row>
    <row r="28" spans="1:9" ht="12" customHeight="1" x14ac:dyDescent="0.25">
      <c r="A28" s="9"/>
      <c r="B28" s="10"/>
      <c r="C28" s="11" t="s">
        <v>29</v>
      </c>
      <c r="D28" s="12">
        <f>50821609.026-D65</f>
        <v>12476793.925999999</v>
      </c>
      <c r="E28" s="12">
        <v>1008535.1</v>
      </c>
      <c r="F28" s="13">
        <f t="shared" si="5"/>
        <v>13485329.025999999</v>
      </c>
      <c r="G28" s="12">
        <f>57885178.5-G65</f>
        <v>10169187.399999999</v>
      </c>
      <c r="H28" s="12">
        <f>57807680.8-H65</f>
        <v>10091689.699999996</v>
      </c>
      <c r="I28" s="13">
        <f t="shared" si="6"/>
        <v>3316141.6260000002</v>
      </c>
    </row>
    <row r="29" spans="1:9" ht="12" customHeight="1" x14ac:dyDescent="0.25">
      <c r="A29" s="9"/>
      <c r="B29" s="10"/>
      <c r="C29" s="11" t="s">
        <v>30</v>
      </c>
      <c r="D29" s="12">
        <f>6791129.274-D66</f>
        <v>5908344.4740000004</v>
      </c>
      <c r="E29" s="12">
        <v>81871.399999999994</v>
      </c>
      <c r="F29" s="13">
        <f t="shared" si="5"/>
        <v>5990215.8740000008</v>
      </c>
      <c r="G29" s="12">
        <f>6731387.3-G66</f>
        <v>5531487.2999999998</v>
      </c>
      <c r="H29" s="12">
        <f>6497724.7-H66</f>
        <v>5297824.7</v>
      </c>
      <c r="I29" s="13">
        <f t="shared" si="6"/>
        <v>458728.57400000095</v>
      </c>
    </row>
    <row r="30" spans="1:9" ht="12" customHeight="1" x14ac:dyDescent="0.25">
      <c r="A30" s="9"/>
      <c r="B30" s="10"/>
      <c r="C30" s="11" t="s">
        <v>31</v>
      </c>
      <c r="D30" s="12">
        <f>0-D67</f>
        <v>0</v>
      </c>
      <c r="E30" s="12">
        <v>0</v>
      </c>
      <c r="F30" s="13">
        <f t="shared" si="5"/>
        <v>0</v>
      </c>
      <c r="G30" s="12">
        <v>0</v>
      </c>
      <c r="H30" s="12">
        <v>0</v>
      </c>
      <c r="I30" s="13">
        <f t="shared" si="6"/>
        <v>0</v>
      </c>
    </row>
    <row r="31" spans="1:9" ht="8.1" customHeight="1" x14ac:dyDescent="0.25">
      <c r="A31" s="14"/>
      <c r="B31" s="15"/>
      <c r="C31" s="16"/>
      <c r="D31" s="8"/>
      <c r="E31" s="8"/>
      <c r="F31" s="13"/>
      <c r="G31" s="8"/>
      <c r="H31" s="8"/>
      <c r="I31" s="13"/>
    </row>
    <row r="32" spans="1:9" ht="12" customHeight="1" x14ac:dyDescent="0.25">
      <c r="A32" s="5"/>
      <c r="B32" s="6" t="s">
        <v>32</v>
      </c>
      <c r="C32" s="7"/>
      <c r="D32" s="8">
        <f>SUM(D33:D41)</f>
        <v>11574959.932999998</v>
      </c>
      <c r="E32" s="8">
        <f t="shared" ref="E32:I32" si="7">SUM(E33:E41)</f>
        <v>145853.80000000002</v>
      </c>
      <c r="F32" s="8">
        <f t="shared" si="7"/>
        <v>11720813.733000001</v>
      </c>
      <c r="G32" s="8">
        <f t="shared" si="7"/>
        <v>9308592.3000000007</v>
      </c>
      <c r="H32" s="8">
        <f t="shared" si="7"/>
        <v>8778989.299999997</v>
      </c>
      <c r="I32" s="8">
        <f t="shared" si="7"/>
        <v>2412221.4330000002</v>
      </c>
    </row>
    <row r="33" spans="1:9" ht="12" customHeight="1" x14ac:dyDescent="0.25">
      <c r="A33" s="9"/>
      <c r="B33" s="10"/>
      <c r="C33" s="11" t="s">
        <v>33</v>
      </c>
      <c r="D33" s="12">
        <f>920381.995-D70</f>
        <v>745684.19500000007</v>
      </c>
      <c r="E33" s="12">
        <v>42007.6</v>
      </c>
      <c r="F33" s="13">
        <f t="shared" ref="F33:F41" si="8">+D33+E33</f>
        <v>787691.79500000004</v>
      </c>
      <c r="G33" s="12">
        <f>708991.6-G70</f>
        <v>496626.1</v>
      </c>
      <c r="H33" s="12">
        <f>676539-H70</f>
        <v>464173.5</v>
      </c>
      <c r="I33" s="13">
        <f t="shared" ref="I33:I41" si="9">+F33-G33</f>
        <v>291065.69500000007</v>
      </c>
    </row>
    <row r="34" spans="1:9" ht="12" customHeight="1" x14ac:dyDescent="0.25">
      <c r="A34" s="9"/>
      <c r="B34" s="10"/>
      <c r="C34" s="11" t="s">
        <v>34</v>
      </c>
      <c r="D34" s="12">
        <f>1851162.998-D71</f>
        <v>1791422.1979999999</v>
      </c>
      <c r="E34" s="12">
        <v>391.3</v>
      </c>
      <c r="F34" s="13">
        <f t="shared" si="8"/>
        <v>1791813.4979999999</v>
      </c>
      <c r="G34" s="12">
        <f>1820955-G71</f>
        <v>1476617.7</v>
      </c>
      <c r="H34" s="12">
        <f>1593484.7-H71</f>
        <v>1249147.3999999999</v>
      </c>
      <c r="I34" s="13">
        <f t="shared" si="9"/>
        <v>315195.79799999995</v>
      </c>
    </row>
    <row r="35" spans="1:9" ht="12" customHeight="1" x14ac:dyDescent="0.25">
      <c r="A35" s="9"/>
      <c r="B35" s="10"/>
      <c r="C35" s="11" t="s">
        <v>35</v>
      </c>
      <c r="D35" s="12">
        <f>194917.477-D72</f>
        <v>194917.47700000001</v>
      </c>
      <c r="E35" s="12">
        <v>164.3</v>
      </c>
      <c r="F35" s="13">
        <f t="shared" si="8"/>
        <v>195081.777</v>
      </c>
      <c r="G35" s="12">
        <v>44181.9</v>
      </c>
      <c r="H35" s="12">
        <v>40922.400000000001</v>
      </c>
      <c r="I35" s="13">
        <f t="shared" si="9"/>
        <v>150899.87700000001</v>
      </c>
    </row>
    <row r="36" spans="1:9" ht="12" customHeight="1" x14ac:dyDescent="0.25">
      <c r="A36" s="9"/>
      <c r="B36" s="10"/>
      <c r="C36" s="11" t="s">
        <v>36</v>
      </c>
      <c r="D36" s="12">
        <f>626705.631-D73</f>
        <v>626705.63100000005</v>
      </c>
      <c r="E36" s="12">
        <v>50466.400000000001</v>
      </c>
      <c r="F36" s="13">
        <f t="shared" si="8"/>
        <v>677172.03100000008</v>
      </c>
      <c r="G36" s="12">
        <v>337715.3</v>
      </c>
      <c r="H36" s="12">
        <v>326463.8</v>
      </c>
      <c r="I36" s="13">
        <f t="shared" si="9"/>
        <v>339456.73100000009</v>
      </c>
    </row>
    <row r="37" spans="1:9" ht="12" customHeight="1" x14ac:dyDescent="0.25">
      <c r="A37" s="9"/>
      <c r="B37" s="10"/>
      <c r="C37" s="11" t="s">
        <v>37</v>
      </c>
      <c r="D37" s="12">
        <f>7092821.307-D74-20090.8</f>
        <v>6944293.6069999998</v>
      </c>
      <c r="E37" s="12">
        <v>26721.599999999999</v>
      </c>
      <c r="F37" s="13">
        <f t="shared" si="8"/>
        <v>6971015.2069999995</v>
      </c>
      <c r="G37" s="12">
        <f>6682536.8-G74</f>
        <v>6192012.0999999996</v>
      </c>
      <c r="H37" s="12">
        <f>6600531-H74</f>
        <v>6110006.2999999998</v>
      </c>
      <c r="I37" s="13">
        <f t="shared" si="9"/>
        <v>779003.10699999984</v>
      </c>
    </row>
    <row r="38" spans="1:9" ht="12" customHeight="1" x14ac:dyDescent="0.25">
      <c r="A38" s="9"/>
      <c r="B38" s="10"/>
      <c r="C38" s="11" t="s">
        <v>38</v>
      </c>
      <c r="D38" s="12">
        <f>2196.633-D75</f>
        <v>2196.6329999999998</v>
      </c>
      <c r="E38" s="12">
        <v>1367</v>
      </c>
      <c r="F38" s="13">
        <f t="shared" si="8"/>
        <v>3563.6329999999998</v>
      </c>
      <c r="G38" s="12">
        <v>1710.8</v>
      </c>
      <c r="H38" s="12">
        <v>1637.1</v>
      </c>
      <c r="I38" s="13">
        <f t="shared" si="9"/>
        <v>1852.8329999999999</v>
      </c>
    </row>
    <row r="39" spans="1:9" ht="12" customHeight="1" x14ac:dyDescent="0.25">
      <c r="A39" s="9"/>
      <c r="B39" s="10"/>
      <c r="C39" s="11" t="s">
        <v>39</v>
      </c>
      <c r="D39" s="12">
        <f>266639.813-D76</f>
        <v>263639.81300000002</v>
      </c>
      <c r="E39" s="12">
        <v>14735.6</v>
      </c>
      <c r="F39" s="13">
        <f t="shared" si="8"/>
        <v>278375.413</v>
      </c>
      <c r="G39" s="12">
        <f>177059-G76</f>
        <v>174527.8</v>
      </c>
      <c r="H39" s="12">
        <f>155465.8-H76</f>
        <v>152934.59999999998</v>
      </c>
      <c r="I39" s="13">
        <f t="shared" si="9"/>
        <v>103847.61300000001</v>
      </c>
    </row>
    <row r="40" spans="1:9" ht="12" customHeight="1" x14ac:dyDescent="0.25">
      <c r="A40" s="9"/>
      <c r="B40" s="10"/>
      <c r="C40" s="11" t="s">
        <v>40</v>
      </c>
      <c r="D40" s="12">
        <f>965041.867-D77</f>
        <v>965041.86699999997</v>
      </c>
      <c r="E40" s="12">
        <v>10000</v>
      </c>
      <c r="F40" s="13">
        <f t="shared" si="8"/>
        <v>975041.86699999997</v>
      </c>
      <c r="G40" s="12">
        <v>555208.9</v>
      </c>
      <c r="H40" s="12">
        <v>406177.5</v>
      </c>
      <c r="I40" s="13">
        <f t="shared" si="9"/>
        <v>419832.96699999995</v>
      </c>
    </row>
    <row r="41" spans="1:9" ht="12" customHeight="1" x14ac:dyDescent="0.25">
      <c r="A41" s="9"/>
      <c r="B41" s="10"/>
      <c r="C41" s="11" t="s">
        <v>41</v>
      </c>
      <c r="D41" s="12">
        <f>41058.512-D78</f>
        <v>41058.512000000002</v>
      </c>
      <c r="E41" s="12">
        <v>0</v>
      </c>
      <c r="F41" s="13">
        <f t="shared" si="8"/>
        <v>41058.512000000002</v>
      </c>
      <c r="G41" s="12">
        <v>29991.7</v>
      </c>
      <c r="H41" s="12">
        <v>27526.7</v>
      </c>
      <c r="I41" s="13">
        <f t="shared" si="9"/>
        <v>11066.812000000002</v>
      </c>
    </row>
    <row r="42" spans="1:9" ht="8.1" customHeight="1" x14ac:dyDescent="0.25">
      <c r="A42" s="14"/>
      <c r="B42" s="15"/>
      <c r="C42" s="16"/>
      <c r="D42" s="8"/>
      <c r="E42" s="8"/>
      <c r="F42" s="13"/>
      <c r="G42" s="8"/>
      <c r="H42" s="8"/>
      <c r="I42" s="13"/>
    </row>
    <row r="43" spans="1:9" ht="12" customHeight="1" x14ac:dyDescent="0.25">
      <c r="A43" s="5"/>
      <c r="B43" s="6" t="s">
        <v>42</v>
      </c>
      <c r="C43" s="7"/>
      <c r="D43" s="8">
        <f>SUM(D44:D47)</f>
        <v>30176934.109000001</v>
      </c>
      <c r="E43" s="8">
        <f t="shared" ref="E43:I43" si="10">SUM(E44:E47)</f>
        <v>968161.3</v>
      </c>
      <c r="F43" s="8">
        <f t="shared" si="10"/>
        <v>31145095.409000002</v>
      </c>
      <c r="G43" s="8">
        <f t="shared" si="10"/>
        <v>28200079.100000001</v>
      </c>
      <c r="H43" s="8">
        <f>SUM(H44:H47)</f>
        <v>28193714.5</v>
      </c>
      <c r="I43" s="8">
        <f t="shared" si="10"/>
        <v>2945016.3090000008</v>
      </c>
    </row>
    <row r="44" spans="1:9" ht="12" customHeight="1" x14ac:dyDescent="0.25">
      <c r="A44" s="9"/>
      <c r="B44" s="10"/>
      <c r="C44" s="11" t="s">
        <v>43</v>
      </c>
      <c r="D44" s="12">
        <f>7312000-D81</f>
        <v>5264792.1000000006</v>
      </c>
      <c r="E44" s="12">
        <v>968161.3</v>
      </c>
      <c r="F44" s="13">
        <f t="shared" ref="F44:F47" si="11">+D44+E44</f>
        <v>6232953.4000000004</v>
      </c>
      <c r="G44" s="12">
        <f>5489338.9-G81</f>
        <v>1252118.6000000006</v>
      </c>
      <c r="H44" s="12">
        <f>5475974.3-H81</f>
        <v>1245754</v>
      </c>
      <c r="I44" s="13">
        <f t="shared" ref="I44:I47" si="12">+F44-G44</f>
        <v>4980834.8</v>
      </c>
    </row>
    <row r="45" spans="1:9" ht="18" customHeight="1" x14ac:dyDescent="0.25">
      <c r="A45" s="9"/>
      <c r="B45" s="10"/>
      <c r="C45" s="11" t="s">
        <v>44</v>
      </c>
      <c r="D45" s="12">
        <f>35942109.809-D82</f>
        <v>22451442.009</v>
      </c>
      <c r="E45" s="12">
        <v>0</v>
      </c>
      <c r="F45" s="13">
        <f t="shared" si="11"/>
        <v>22451442.009</v>
      </c>
      <c r="G45" s="12">
        <f>37967957.5-G82</f>
        <v>24487304.899999999</v>
      </c>
      <c r="H45" s="12">
        <f>37967957.5-H82</f>
        <v>24487304.899999999</v>
      </c>
      <c r="I45" s="13">
        <f t="shared" si="12"/>
        <v>-2035862.8909999989</v>
      </c>
    </row>
    <row r="46" spans="1:9" ht="12" customHeight="1" x14ac:dyDescent="0.25">
      <c r="A46" s="9"/>
      <c r="B46" s="10"/>
      <c r="C46" s="11" t="s">
        <v>45</v>
      </c>
      <c r="D46" s="12">
        <v>0</v>
      </c>
      <c r="E46" s="12">
        <v>0</v>
      </c>
      <c r="F46" s="13">
        <f t="shared" si="11"/>
        <v>0</v>
      </c>
      <c r="G46" s="12">
        <v>0</v>
      </c>
      <c r="H46" s="12">
        <v>0</v>
      </c>
      <c r="I46" s="13">
        <f t="shared" si="12"/>
        <v>0</v>
      </c>
    </row>
    <row r="47" spans="1:9" ht="12" customHeight="1" x14ac:dyDescent="0.25">
      <c r="A47" s="9"/>
      <c r="B47" s="10"/>
      <c r="C47" s="11" t="s">
        <v>46</v>
      </c>
      <c r="D47" s="12">
        <v>2460700</v>
      </c>
      <c r="E47" s="12">
        <v>0</v>
      </c>
      <c r="F47" s="13">
        <f t="shared" si="11"/>
        <v>2460700</v>
      </c>
      <c r="G47" s="12">
        <v>2460655.6</v>
      </c>
      <c r="H47" s="12">
        <v>2460655.6</v>
      </c>
      <c r="I47" s="13">
        <f t="shared" si="12"/>
        <v>44.399999999906868</v>
      </c>
    </row>
    <row r="48" spans="1:9" ht="8.1" customHeight="1" x14ac:dyDescent="0.25">
      <c r="A48" s="14"/>
      <c r="B48" s="15"/>
      <c r="C48" s="16"/>
      <c r="D48" s="8"/>
      <c r="E48" s="8"/>
      <c r="F48" s="13"/>
      <c r="G48" s="8"/>
      <c r="H48" s="8"/>
      <c r="I48" s="13"/>
    </row>
    <row r="49" spans="1:11" ht="12" customHeight="1" x14ac:dyDescent="0.25">
      <c r="A49" s="28" t="s">
        <v>47</v>
      </c>
      <c r="B49" s="29"/>
      <c r="C49" s="30"/>
      <c r="D49" s="8">
        <f>+D50+D60+D69+D80</f>
        <v>87264232</v>
      </c>
      <c r="E49" s="8">
        <f t="shared" ref="E49:H49" si="13">+E50+E60+E69+E80</f>
        <v>0</v>
      </c>
      <c r="F49" s="8">
        <f t="shared" si="13"/>
        <v>87264232</v>
      </c>
      <c r="G49" s="8">
        <f>+G50+G60+G69+G80</f>
        <v>93938432.800000012</v>
      </c>
      <c r="H49" s="8">
        <f t="shared" si="13"/>
        <v>93931432.800000012</v>
      </c>
      <c r="I49" s="8">
        <f>+I50+I60+I69+I80</f>
        <v>-6674200.8000000007</v>
      </c>
      <c r="K49" s="17"/>
    </row>
    <row r="50" spans="1:11" ht="12" customHeight="1" x14ac:dyDescent="0.25">
      <c r="A50" s="5"/>
      <c r="B50" s="6" t="s">
        <v>15</v>
      </c>
      <c r="C50" s="7"/>
      <c r="D50" s="8">
        <f>SUM(D51:D58)</f>
        <v>4897450.4999999991</v>
      </c>
      <c r="E50" s="8">
        <f t="shared" ref="E50:I50" si="14">SUM(E51:E58)</f>
        <v>0</v>
      </c>
      <c r="F50" s="8">
        <f t="shared" si="14"/>
        <v>4897450.4999999991</v>
      </c>
      <c r="G50" s="8">
        <f t="shared" si="14"/>
        <v>2746021</v>
      </c>
      <c r="H50" s="8">
        <f t="shared" si="14"/>
        <v>2746021</v>
      </c>
      <c r="I50" s="8">
        <f t="shared" si="14"/>
        <v>2151429.4999999995</v>
      </c>
      <c r="K50" s="17"/>
    </row>
    <row r="51" spans="1:11" ht="12" customHeight="1" x14ac:dyDescent="0.25">
      <c r="A51" s="9"/>
      <c r="B51" s="10"/>
      <c r="C51" s="11" t="s">
        <v>16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f>+F51-G51</f>
        <v>0</v>
      </c>
    </row>
    <row r="52" spans="1:11" ht="12" customHeight="1" x14ac:dyDescent="0.25">
      <c r="A52" s="9"/>
      <c r="B52" s="10"/>
      <c r="C52" s="11" t="s">
        <v>17</v>
      </c>
      <c r="D52" s="12">
        <v>13354.7</v>
      </c>
      <c r="E52" s="12">
        <v>0</v>
      </c>
      <c r="F52" s="12">
        <f>+D52+E52</f>
        <v>13354.7</v>
      </c>
      <c r="G52" s="12">
        <v>13354.7</v>
      </c>
      <c r="H52" s="12">
        <v>13354.7</v>
      </c>
      <c r="I52" s="12">
        <f t="shared" ref="I52:I58" si="15">+F52-G52</f>
        <v>0</v>
      </c>
    </row>
    <row r="53" spans="1:11" ht="12" customHeight="1" x14ac:dyDescent="0.25">
      <c r="A53" s="9"/>
      <c r="B53" s="10"/>
      <c r="C53" s="11" t="s">
        <v>18</v>
      </c>
      <c r="D53" s="12">
        <v>45385</v>
      </c>
      <c r="E53" s="12">
        <v>0</v>
      </c>
      <c r="F53" s="12">
        <f>+D53+E53</f>
        <v>45385</v>
      </c>
      <c r="G53" s="12">
        <v>40835</v>
      </c>
      <c r="H53" s="12">
        <v>40835</v>
      </c>
      <c r="I53" s="12">
        <f t="shared" si="15"/>
        <v>4550</v>
      </c>
    </row>
    <row r="54" spans="1:11" ht="12" customHeight="1" x14ac:dyDescent="0.25">
      <c r="A54" s="9"/>
      <c r="B54" s="10"/>
      <c r="C54" s="11" t="s">
        <v>19</v>
      </c>
      <c r="D54" s="12">
        <v>10045.4</v>
      </c>
      <c r="E54" s="12">
        <v>0</v>
      </c>
      <c r="F54" s="12">
        <f>+D54+E54</f>
        <v>10045.4</v>
      </c>
      <c r="G54" s="12">
        <v>10045.4</v>
      </c>
      <c r="H54" s="12">
        <v>10045.4</v>
      </c>
      <c r="I54" s="12">
        <f t="shared" si="15"/>
        <v>0</v>
      </c>
    </row>
    <row r="55" spans="1:11" ht="12" customHeight="1" x14ac:dyDescent="0.25">
      <c r="A55" s="9"/>
      <c r="B55" s="10"/>
      <c r="C55" s="11" t="s">
        <v>20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f t="shared" si="15"/>
        <v>0</v>
      </c>
    </row>
    <row r="56" spans="1:11" ht="12" customHeight="1" x14ac:dyDescent="0.25">
      <c r="A56" s="9"/>
      <c r="B56" s="10"/>
      <c r="C56" s="11" t="s">
        <v>21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f t="shared" si="15"/>
        <v>0</v>
      </c>
    </row>
    <row r="57" spans="1:11" ht="12" customHeight="1" x14ac:dyDescent="0.25">
      <c r="A57" s="9"/>
      <c r="B57" s="10"/>
      <c r="C57" s="11" t="s">
        <v>22</v>
      </c>
      <c r="D57" s="12">
        <f>4877045.8-38335-10045.4</f>
        <v>4828665.3999999994</v>
      </c>
      <c r="E57" s="12">
        <v>0</v>
      </c>
      <c r="F57" s="12">
        <f>+D57+E57</f>
        <v>4828665.3999999994</v>
      </c>
      <c r="G57" s="12">
        <v>2679451.9</v>
      </c>
      <c r="H57" s="12">
        <v>2679451.9</v>
      </c>
      <c r="I57" s="12">
        <f t="shared" si="15"/>
        <v>2149213.4999999995</v>
      </c>
    </row>
    <row r="58" spans="1:11" ht="12" customHeight="1" x14ac:dyDescent="0.25">
      <c r="A58" s="9"/>
      <c r="B58" s="10"/>
      <c r="C58" s="11" t="s">
        <v>23</v>
      </c>
      <c r="D58" s="12">
        <v>0</v>
      </c>
      <c r="E58" s="12">
        <v>0</v>
      </c>
      <c r="F58" s="12">
        <v>0</v>
      </c>
      <c r="G58" s="12">
        <v>2334</v>
      </c>
      <c r="H58" s="12">
        <v>2334</v>
      </c>
      <c r="I58" s="12">
        <f t="shared" si="15"/>
        <v>-2334</v>
      </c>
    </row>
    <row r="59" spans="1:11" ht="8.1" customHeight="1" x14ac:dyDescent="0.25">
      <c r="A59" s="14"/>
      <c r="B59" s="15"/>
      <c r="C59" s="16"/>
      <c r="D59" s="8"/>
      <c r="E59" s="8"/>
      <c r="F59" s="13"/>
      <c r="G59" s="8"/>
      <c r="H59" s="8"/>
      <c r="I59" s="13"/>
    </row>
    <row r="60" spans="1:11" ht="12" customHeight="1" x14ac:dyDescent="0.25">
      <c r="A60" s="5"/>
      <c r="B60" s="6" t="s">
        <v>24</v>
      </c>
      <c r="C60" s="7"/>
      <c r="D60" s="8">
        <f>SUM(D61:D67)</f>
        <v>66463030.299999997</v>
      </c>
      <c r="E60" s="8">
        <f t="shared" ref="E60:I60" si="16">SUM(E61:E67)</f>
        <v>0</v>
      </c>
      <c r="F60" s="8">
        <f t="shared" si="16"/>
        <v>66463030.299999997</v>
      </c>
      <c r="G60" s="8">
        <f>SUM(G61:G67)</f>
        <v>72424780.200000003</v>
      </c>
      <c r="H60" s="8">
        <f>SUM(H61:H67)</f>
        <v>72424780.200000003</v>
      </c>
      <c r="I60" s="8">
        <f t="shared" si="16"/>
        <v>-5961749.9000000013</v>
      </c>
    </row>
    <row r="61" spans="1:11" ht="12" customHeight="1" x14ac:dyDescent="0.25">
      <c r="A61" s="9"/>
      <c r="B61" s="10"/>
      <c r="C61" s="11" t="s">
        <v>25</v>
      </c>
      <c r="D61" s="12">
        <v>191116.5</v>
      </c>
      <c r="E61" s="12">
        <v>0</v>
      </c>
      <c r="F61" s="12">
        <f t="shared" ref="F61:F66" si="17">+D61+E61</f>
        <v>191116.5</v>
      </c>
      <c r="G61" s="12">
        <v>643592.80000000005</v>
      </c>
      <c r="H61" s="12">
        <v>643592.80000000005</v>
      </c>
      <c r="I61" s="12">
        <f t="shared" ref="I61:I67" si="18">+F61-G61</f>
        <v>-452476.30000000005</v>
      </c>
    </row>
    <row r="62" spans="1:11" ht="12" customHeight="1" x14ac:dyDescent="0.25">
      <c r="A62" s="9"/>
      <c r="B62" s="10"/>
      <c r="C62" s="11" t="s">
        <v>26</v>
      </c>
      <c r="D62" s="12">
        <v>2401457.5</v>
      </c>
      <c r="E62" s="12">
        <v>0</v>
      </c>
      <c r="F62" s="13">
        <f t="shared" si="17"/>
        <v>2401457.5</v>
      </c>
      <c r="G62" s="12">
        <v>3632922.9</v>
      </c>
      <c r="H62" s="12">
        <v>3632922.9</v>
      </c>
      <c r="I62" s="12">
        <f t="shared" si="18"/>
        <v>-1231465.3999999999</v>
      </c>
    </row>
    <row r="63" spans="1:11" ht="12" customHeight="1" x14ac:dyDescent="0.25">
      <c r="A63" s="9"/>
      <c r="B63" s="10"/>
      <c r="C63" s="11" t="s">
        <v>27</v>
      </c>
      <c r="D63" s="12">
        <f>29755242.7-4000000-2000000+663558.3</f>
        <v>24418801</v>
      </c>
      <c r="E63" s="12">
        <v>0</v>
      </c>
      <c r="F63" s="13">
        <f t="shared" si="17"/>
        <v>24418801</v>
      </c>
      <c r="G63" s="12">
        <v>18934305.600000001</v>
      </c>
      <c r="H63" s="12">
        <v>18934305.600000001</v>
      </c>
      <c r="I63" s="12">
        <f t="shared" si="18"/>
        <v>5484495.3999999985</v>
      </c>
    </row>
    <row r="64" spans="1:11" ht="12" customHeight="1" x14ac:dyDescent="0.25">
      <c r="A64" s="9"/>
      <c r="B64" s="10"/>
      <c r="C64" s="11" t="s">
        <v>28</v>
      </c>
      <c r="D64" s="12">
        <v>224055.4</v>
      </c>
      <c r="E64" s="12">
        <v>0</v>
      </c>
      <c r="F64" s="12">
        <f t="shared" si="17"/>
        <v>224055.4</v>
      </c>
      <c r="G64" s="12">
        <v>298067.8</v>
      </c>
      <c r="H64" s="12">
        <v>298067.8</v>
      </c>
      <c r="I64" s="12">
        <f t="shared" si="18"/>
        <v>-74012.399999999994</v>
      </c>
    </row>
    <row r="65" spans="1:9" ht="12" customHeight="1" x14ac:dyDescent="0.25">
      <c r="A65" s="9"/>
      <c r="B65" s="10"/>
      <c r="C65" s="11" t="s">
        <v>29</v>
      </c>
      <c r="D65" s="12">
        <f>41489384.1+719995.3-191116.5-23205.5-571956.7-64217.4-3000-2020849.8-990218.4</f>
        <v>38344815.100000001</v>
      </c>
      <c r="E65" s="12">
        <v>0</v>
      </c>
      <c r="F65" s="13">
        <f t="shared" si="17"/>
        <v>38344815.100000001</v>
      </c>
      <c r="G65" s="12">
        <v>47715991.100000001</v>
      </c>
      <c r="H65" s="12">
        <v>47715991.100000001</v>
      </c>
      <c r="I65" s="12">
        <f t="shared" si="18"/>
        <v>-9371176</v>
      </c>
    </row>
    <row r="66" spans="1:9" ht="12" customHeight="1" x14ac:dyDescent="0.25">
      <c r="A66" s="9"/>
      <c r="B66" s="10"/>
      <c r="C66" s="11" t="s">
        <v>30</v>
      </c>
      <c r="D66" s="12">
        <v>882784.8</v>
      </c>
      <c r="E66" s="12">
        <v>0</v>
      </c>
      <c r="F66" s="13">
        <f t="shared" si="17"/>
        <v>882784.8</v>
      </c>
      <c r="G66" s="12">
        <v>1199900</v>
      </c>
      <c r="H66" s="12">
        <v>1199900</v>
      </c>
      <c r="I66" s="12">
        <f t="shared" si="18"/>
        <v>-317115.19999999995</v>
      </c>
    </row>
    <row r="67" spans="1:9" ht="12" customHeight="1" x14ac:dyDescent="0.25">
      <c r="A67" s="9"/>
      <c r="B67" s="10"/>
      <c r="C67" s="11" t="s">
        <v>31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f t="shared" si="18"/>
        <v>0</v>
      </c>
    </row>
    <row r="68" spans="1:9" ht="8.1" customHeight="1" x14ac:dyDescent="0.25">
      <c r="A68" s="14"/>
      <c r="B68" s="15"/>
      <c r="C68" s="16"/>
      <c r="D68" s="8"/>
      <c r="E68" s="8"/>
      <c r="F68" s="13"/>
      <c r="G68" s="8"/>
      <c r="H68" s="8"/>
      <c r="I68" s="13"/>
    </row>
    <row r="69" spans="1:9" ht="12" customHeight="1" x14ac:dyDescent="0.25">
      <c r="A69" s="5"/>
      <c r="B69" s="6" t="s">
        <v>32</v>
      </c>
      <c r="C69" s="7"/>
      <c r="D69" s="8">
        <f>SUM(D70:D78)</f>
        <v>365875.5</v>
      </c>
      <c r="E69" s="8">
        <f t="shared" ref="E69:I69" si="19">SUM(E70:E78)</f>
        <v>0</v>
      </c>
      <c r="F69" s="8">
        <f t="shared" si="19"/>
        <v>365875.5</v>
      </c>
      <c r="G69" s="8">
        <f t="shared" si="19"/>
        <v>1049758.7</v>
      </c>
      <c r="H69" s="8">
        <f t="shared" si="19"/>
        <v>1049758.7</v>
      </c>
      <c r="I69" s="8">
        <f t="shared" si="19"/>
        <v>-683883.2</v>
      </c>
    </row>
    <row r="70" spans="1:9" ht="12" customHeight="1" x14ac:dyDescent="0.25">
      <c r="A70" s="9"/>
      <c r="B70" s="10"/>
      <c r="C70" s="11" t="s">
        <v>33</v>
      </c>
      <c r="D70" s="12">
        <v>174697.8</v>
      </c>
      <c r="E70" s="12">
        <v>0</v>
      </c>
      <c r="F70" s="12">
        <f>+D70+E70</f>
        <v>174697.8</v>
      </c>
      <c r="G70" s="12">
        <v>212365.5</v>
      </c>
      <c r="H70" s="12">
        <v>212365.5</v>
      </c>
      <c r="I70" s="12">
        <f t="shared" ref="I70:I78" si="20">+F70-G70</f>
        <v>-37667.700000000012</v>
      </c>
    </row>
    <row r="71" spans="1:9" ht="12" customHeight="1" x14ac:dyDescent="0.25">
      <c r="A71" s="9"/>
      <c r="B71" s="10"/>
      <c r="C71" s="11" t="s">
        <v>34</v>
      </c>
      <c r="D71" s="12">
        <v>59740.800000000003</v>
      </c>
      <c r="E71" s="12">
        <v>0</v>
      </c>
      <c r="F71" s="12">
        <f>+D71</f>
        <v>59740.800000000003</v>
      </c>
      <c r="G71" s="12">
        <v>344337.3</v>
      </c>
      <c r="H71" s="12">
        <v>344337.3</v>
      </c>
      <c r="I71" s="12">
        <f t="shared" si="20"/>
        <v>-284596.5</v>
      </c>
    </row>
    <row r="72" spans="1:9" ht="12" customHeight="1" x14ac:dyDescent="0.25">
      <c r="A72" s="9"/>
      <c r="B72" s="10"/>
      <c r="C72" s="11" t="s">
        <v>35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f t="shared" si="20"/>
        <v>0</v>
      </c>
    </row>
    <row r="73" spans="1:9" ht="12" customHeight="1" x14ac:dyDescent="0.25">
      <c r="A73" s="9"/>
      <c r="B73" s="10"/>
      <c r="C73" s="11" t="s">
        <v>36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f t="shared" si="20"/>
        <v>0</v>
      </c>
    </row>
    <row r="74" spans="1:9" ht="12" customHeight="1" x14ac:dyDescent="0.25">
      <c r="A74" s="9"/>
      <c r="B74" s="10"/>
      <c r="C74" s="11" t="s">
        <v>37</v>
      </c>
      <c r="D74" s="12">
        <v>128436.9</v>
      </c>
      <c r="E74" s="12">
        <v>0</v>
      </c>
      <c r="F74" s="12">
        <f>+D74</f>
        <v>128436.9</v>
      </c>
      <c r="G74" s="12">
        <v>490524.7</v>
      </c>
      <c r="H74" s="12">
        <v>490524.7</v>
      </c>
      <c r="I74" s="12">
        <f t="shared" si="20"/>
        <v>-362087.80000000005</v>
      </c>
    </row>
    <row r="75" spans="1:9" ht="12" customHeight="1" x14ac:dyDescent="0.25">
      <c r="A75" s="9"/>
      <c r="B75" s="10"/>
      <c r="C75" s="11" t="s">
        <v>38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f t="shared" si="20"/>
        <v>0</v>
      </c>
    </row>
    <row r="76" spans="1:9" ht="12" customHeight="1" x14ac:dyDescent="0.25">
      <c r="A76" s="9"/>
      <c r="B76" s="10"/>
      <c r="C76" s="11" t="s">
        <v>39</v>
      </c>
      <c r="D76" s="12">
        <v>3000</v>
      </c>
      <c r="E76" s="12">
        <v>0</v>
      </c>
      <c r="F76" s="12">
        <f>+D76+E76</f>
        <v>3000</v>
      </c>
      <c r="G76" s="12">
        <v>2531.1999999999998</v>
      </c>
      <c r="H76" s="12">
        <v>2531.1999999999998</v>
      </c>
      <c r="I76" s="12">
        <f t="shared" si="20"/>
        <v>468.80000000000018</v>
      </c>
    </row>
    <row r="77" spans="1:9" ht="12" customHeight="1" x14ac:dyDescent="0.25">
      <c r="A77" s="9"/>
      <c r="B77" s="10"/>
      <c r="C77" s="11" t="s">
        <v>40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f t="shared" si="20"/>
        <v>0</v>
      </c>
    </row>
    <row r="78" spans="1:9" ht="12" customHeight="1" x14ac:dyDescent="0.25">
      <c r="A78" s="9"/>
      <c r="B78" s="10"/>
      <c r="C78" s="11" t="s">
        <v>41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f t="shared" si="20"/>
        <v>0</v>
      </c>
    </row>
    <row r="79" spans="1:9" ht="8.1" customHeight="1" x14ac:dyDescent="0.25">
      <c r="A79" s="14"/>
      <c r="B79" s="15"/>
      <c r="C79" s="16"/>
      <c r="D79" s="8"/>
      <c r="E79" s="8"/>
      <c r="F79" s="13"/>
      <c r="G79" s="8"/>
      <c r="H79" s="8"/>
      <c r="I79" s="13"/>
    </row>
    <row r="80" spans="1:9" ht="14.1" customHeight="1" x14ac:dyDescent="0.25">
      <c r="A80" s="5"/>
      <c r="B80" s="6" t="s">
        <v>42</v>
      </c>
      <c r="C80" s="7"/>
      <c r="D80" s="8">
        <f>SUM(D81:D84)</f>
        <v>15537875.699999999</v>
      </c>
      <c r="E80" s="8">
        <f t="shared" ref="E80:I80" si="21">SUM(E81:E84)</f>
        <v>0</v>
      </c>
      <c r="F80" s="8">
        <f t="shared" si="21"/>
        <v>15537875.699999999</v>
      </c>
      <c r="G80" s="8">
        <f t="shared" si="21"/>
        <v>17717872.899999999</v>
      </c>
      <c r="H80" s="8">
        <f t="shared" si="21"/>
        <v>17710872.899999999</v>
      </c>
      <c r="I80" s="8">
        <f t="shared" si="21"/>
        <v>-2179997.1999999993</v>
      </c>
    </row>
    <row r="81" spans="1:9" ht="14.1" customHeight="1" x14ac:dyDescent="0.25">
      <c r="A81" s="9"/>
      <c r="B81" s="10"/>
      <c r="C81" s="11" t="s">
        <v>43</v>
      </c>
      <c r="D81" s="12">
        <f>5445309.6-3398101.7</f>
        <v>2047207.8999999994</v>
      </c>
      <c r="E81" s="12">
        <v>0</v>
      </c>
      <c r="F81" s="12">
        <f>+D81-E81</f>
        <v>2047207.8999999994</v>
      </c>
      <c r="G81" s="12">
        <v>4237220.3</v>
      </c>
      <c r="H81" s="12">
        <v>4230220.3</v>
      </c>
      <c r="I81" s="12">
        <f t="shared" ref="I81:I84" si="22">+F81-G81</f>
        <v>-2190012.4000000004</v>
      </c>
    </row>
    <row r="82" spans="1:9" ht="14.1" customHeight="1" x14ac:dyDescent="0.25">
      <c r="A82" s="9"/>
      <c r="B82" s="10"/>
      <c r="C82" s="11" t="s">
        <v>44</v>
      </c>
      <c r="D82" s="12">
        <v>13490667.800000001</v>
      </c>
      <c r="E82" s="12">
        <v>0</v>
      </c>
      <c r="F82" s="12">
        <f>+D82+E82</f>
        <v>13490667.800000001</v>
      </c>
      <c r="G82" s="12">
        <v>13480652.6</v>
      </c>
      <c r="H82" s="12">
        <v>13480652.6</v>
      </c>
      <c r="I82" s="12">
        <f t="shared" si="22"/>
        <v>10015.200000001118</v>
      </c>
    </row>
    <row r="83" spans="1:9" ht="14.1" customHeight="1" x14ac:dyDescent="0.25">
      <c r="A83" s="9"/>
      <c r="B83" s="10"/>
      <c r="C83" s="11" t="s">
        <v>45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f t="shared" si="22"/>
        <v>0</v>
      </c>
    </row>
    <row r="84" spans="1:9" ht="14.1" customHeight="1" x14ac:dyDescent="0.25">
      <c r="A84" s="9"/>
      <c r="B84" s="10"/>
      <c r="C84" s="11" t="s">
        <v>46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f t="shared" si="22"/>
        <v>0</v>
      </c>
    </row>
    <row r="85" spans="1:9" ht="8.1" customHeight="1" x14ac:dyDescent="0.25">
      <c r="A85" s="14"/>
      <c r="B85" s="15"/>
      <c r="C85" s="16"/>
      <c r="D85" s="8"/>
      <c r="E85" s="8"/>
      <c r="F85" s="13"/>
      <c r="G85" s="8"/>
      <c r="H85" s="8"/>
      <c r="I85" s="13"/>
    </row>
    <row r="86" spans="1:9" x14ac:dyDescent="0.25">
      <c r="A86" s="28" t="s">
        <v>48</v>
      </c>
      <c r="B86" s="29"/>
      <c r="C86" s="30"/>
      <c r="D86" s="8">
        <f>+D12+D49</f>
        <v>222418132.139</v>
      </c>
      <c r="E86" s="8">
        <f t="shared" ref="E86:I86" si="23">+E12+E49</f>
        <v>2236609.4000000004</v>
      </c>
      <c r="F86" s="8">
        <f t="shared" si="23"/>
        <v>224654741.539</v>
      </c>
      <c r="G86" s="8">
        <f>+G12+G49</f>
        <v>237103604.20000002</v>
      </c>
      <c r="H86" s="8">
        <f t="shared" si="23"/>
        <v>234637028</v>
      </c>
      <c r="I86" s="8">
        <f t="shared" si="23"/>
        <v>-12448862.660999995</v>
      </c>
    </row>
    <row r="87" spans="1:9" ht="8.1" customHeight="1" x14ac:dyDescent="0.25">
      <c r="A87" s="18"/>
      <c r="B87" s="19"/>
      <c r="C87" s="20"/>
      <c r="D87" s="21"/>
      <c r="E87" s="21"/>
      <c r="F87" s="21"/>
      <c r="G87" s="21"/>
      <c r="H87" s="21"/>
      <c r="I87" s="22"/>
    </row>
    <row r="90" spans="1:9" x14ac:dyDescent="0.25">
      <c r="D90" s="23"/>
      <c r="E90" s="24"/>
      <c r="F90" s="23"/>
      <c r="G90" s="25"/>
      <c r="H90" s="25"/>
      <c r="I90" s="25"/>
    </row>
    <row r="91" spans="1:9" x14ac:dyDescent="0.25">
      <c r="H91" s="17"/>
    </row>
    <row r="92" spans="1:9" x14ac:dyDescent="0.25">
      <c r="D92" s="17"/>
      <c r="F92" s="17"/>
    </row>
  </sheetData>
  <mergeCells count="15">
    <mergeCell ref="A1:I1"/>
    <mergeCell ref="A2:I2"/>
    <mergeCell ref="A49:C49"/>
    <mergeCell ref="A86:C86"/>
    <mergeCell ref="A11:C11"/>
    <mergeCell ref="A12:C12"/>
    <mergeCell ref="A3:I3"/>
    <mergeCell ref="A4:I4"/>
    <mergeCell ref="A5:I5"/>
    <mergeCell ref="A7:I7"/>
    <mergeCell ref="A8:I8"/>
    <mergeCell ref="A9:C10"/>
    <mergeCell ref="D9:H9"/>
    <mergeCell ref="I9:I10"/>
    <mergeCell ref="A6:I6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2018-02-19T18:49:39Z</cp:lastPrinted>
  <dcterms:created xsi:type="dcterms:W3CDTF">2017-05-09T18:58:00Z</dcterms:created>
  <dcterms:modified xsi:type="dcterms:W3CDTF">2018-02-19T18:49:41Z</dcterms:modified>
</cp:coreProperties>
</file>