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7" i="1" l="1"/>
  <c r="D25" i="1"/>
  <c r="D64" i="1"/>
  <c r="D62" i="1"/>
  <c r="F46" i="1"/>
  <c r="I46" i="1" s="1"/>
  <c r="F45" i="1"/>
  <c r="I45" i="1" s="1"/>
  <c r="F40" i="1"/>
  <c r="I40" i="1" s="1"/>
  <c r="F39" i="1"/>
  <c r="I39" i="1" s="1"/>
  <c r="F37" i="1"/>
  <c r="I37" i="1" s="1"/>
  <c r="F35" i="1"/>
  <c r="I35" i="1" s="1"/>
  <c r="F34" i="1"/>
  <c r="I34" i="1" s="1"/>
  <c r="F33" i="1"/>
  <c r="I33" i="1" s="1"/>
  <c r="F29" i="1"/>
  <c r="I29" i="1" s="1"/>
  <c r="F27" i="1"/>
  <c r="I27" i="1" s="1"/>
  <c r="F25" i="1"/>
  <c r="F20" i="1"/>
  <c r="I20" i="1" s="1"/>
  <c r="F19" i="1"/>
  <c r="I19" i="1" s="1"/>
  <c r="F18" i="1"/>
  <c r="I18" i="1" s="1"/>
  <c r="F17" i="1"/>
  <c r="I17" i="1" s="1"/>
  <c r="F15" i="1"/>
  <c r="I15" i="1" s="1"/>
  <c r="F13" i="1"/>
  <c r="I13" i="1" s="1"/>
  <c r="H44" i="1"/>
  <c r="G44" i="1"/>
  <c r="D44" i="1"/>
  <c r="F44" i="1" s="1"/>
  <c r="I44" i="1" s="1"/>
  <c r="H43" i="1"/>
  <c r="G43" i="1"/>
  <c r="D43" i="1"/>
  <c r="F43" i="1" s="1"/>
  <c r="I43" i="1" s="1"/>
  <c r="H38" i="1"/>
  <c r="G38" i="1"/>
  <c r="D38" i="1"/>
  <c r="F38" i="1" s="1"/>
  <c r="I38" i="1" s="1"/>
  <c r="H36" i="1"/>
  <c r="G36" i="1"/>
  <c r="D36" i="1"/>
  <c r="F36" i="1" s="1"/>
  <c r="I36" i="1" s="1"/>
  <c r="H33" i="1"/>
  <c r="G33" i="1"/>
  <c r="D33" i="1"/>
  <c r="H32" i="1"/>
  <c r="G32" i="1"/>
  <c r="D32" i="1"/>
  <c r="F32" i="1" s="1"/>
  <c r="I32" i="1" s="1"/>
  <c r="H28" i="1"/>
  <c r="G28" i="1"/>
  <c r="D28" i="1"/>
  <c r="F28" i="1" s="1"/>
  <c r="I28" i="1" s="1"/>
  <c r="H27" i="1"/>
  <c r="G27" i="1"/>
  <c r="H26" i="1"/>
  <c r="G26" i="1"/>
  <c r="D26" i="1"/>
  <c r="F26" i="1" s="1"/>
  <c r="I26" i="1" s="1"/>
  <c r="H25" i="1"/>
  <c r="G25" i="1"/>
  <c r="H24" i="1"/>
  <c r="G24" i="1"/>
  <c r="D24" i="1"/>
  <c r="F24" i="1" s="1"/>
  <c r="I24" i="1" s="1"/>
  <c r="H23" i="1"/>
  <c r="G23" i="1"/>
  <c r="D23" i="1"/>
  <c r="F23" i="1" s="1"/>
  <c r="I23" i="1" s="1"/>
  <c r="H19" i="1"/>
  <c r="G19" i="1"/>
  <c r="D19" i="1"/>
  <c r="H16" i="1"/>
  <c r="G16" i="1"/>
  <c r="D16" i="1"/>
  <c r="F16" i="1" s="1"/>
  <c r="I16" i="1" s="1"/>
  <c r="H15" i="1"/>
  <c r="G15" i="1"/>
  <c r="D15" i="1"/>
  <c r="H14" i="1"/>
  <c r="G14" i="1"/>
  <c r="D14" i="1"/>
  <c r="F14" i="1" s="1"/>
  <c r="I14" i="1" s="1"/>
  <c r="I25" i="1" l="1"/>
  <c r="F70" i="1"/>
  <c r="I70" i="1" s="1"/>
  <c r="F73" i="1"/>
  <c r="F51" i="1"/>
  <c r="I51" i="1"/>
  <c r="F75" i="1" l="1"/>
  <c r="F69" i="1"/>
  <c r="F60" i="1"/>
  <c r="D56" i="1" l="1"/>
  <c r="F56" i="1" s="1"/>
  <c r="I56" i="1" s="1"/>
  <c r="F53" i="1"/>
  <c r="I53" i="1" s="1"/>
  <c r="F52" i="1"/>
  <c r="I52" i="1" s="1"/>
  <c r="G59" i="1"/>
  <c r="H59" i="1"/>
  <c r="I75" i="1"/>
  <c r="I69" i="1"/>
  <c r="F63" i="1"/>
  <c r="I63" i="1" s="1"/>
  <c r="F80" i="1"/>
  <c r="I80" i="1" s="1"/>
  <c r="F81" i="1"/>
  <c r="I81" i="1" s="1"/>
  <c r="F61" i="1"/>
  <c r="I61" i="1" s="1"/>
  <c r="I60" i="1"/>
  <c r="F62" i="1"/>
  <c r="I62" i="1" s="1"/>
  <c r="F64" i="1"/>
  <c r="I64" i="1" s="1"/>
  <c r="F65" i="1" l="1"/>
  <c r="I65" i="1" s="1"/>
  <c r="I59" i="1" s="1"/>
  <c r="H42" i="1"/>
  <c r="I79" i="1"/>
  <c r="H79" i="1"/>
  <c r="G79" i="1"/>
  <c r="F79" i="1"/>
  <c r="E79" i="1"/>
  <c r="D79" i="1"/>
  <c r="I68" i="1"/>
  <c r="H68" i="1"/>
  <c r="G68" i="1"/>
  <c r="F68" i="1"/>
  <c r="E68" i="1"/>
  <c r="D68" i="1"/>
  <c r="E59" i="1"/>
  <c r="E49" i="1"/>
  <c r="E48" i="1"/>
  <c r="D59" i="1"/>
  <c r="I49" i="1"/>
  <c r="H49" i="1"/>
  <c r="G49" i="1"/>
  <c r="F49" i="1"/>
  <c r="D49" i="1"/>
  <c r="G42" i="1"/>
  <c r="E42" i="1"/>
  <c r="D42" i="1"/>
  <c r="H31" i="1"/>
  <c r="G31" i="1"/>
  <c r="E31" i="1"/>
  <c r="D31" i="1"/>
  <c r="H22" i="1"/>
  <c r="G22" i="1"/>
  <c r="E22" i="1"/>
  <c r="D22" i="1"/>
  <c r="H12" i="1"/>
  <c r="G12" i="1"/>
  <c r="E12" i="1"/>
  <c r="E11" i="1" s="1"/>
  <c r="E85" i="1" s="1"/>
  <c r="D12" i="1"/>
  <c r="F42" i="1"/>
  <c r="I42" i="1"/>
  <c r="I22" i="1"/>
  <c r="F22" i="1"/>
  <c r="I31" i="1"/>
  <c r="F31" i="1"/>
  <c r="I12" i="1"/>
  <c r="F12" i="1"/>
  <c r="F59" i="1" l="1"/>
  <c r="F48" i="1" s="1"/>
  <c r="G11" i="1"/>
  <c r="F11" i="1"/>
  <c r="D11" i="1"/>
  <c r="D48" i="1"/>
  <c r="I48" i="1"/>
  <c r="H48" i="1"/>
  <c r="G48" i="1"/>
  <c r="I11" i="1"/>
  <c r="H11" i="1"/>
  <c r="G85" i="1" l="1"/>
  <c r="F85" i="1"/>
  <c r="D85" i="1"/>
  <c r="I85" i="1"/>
  <c r="H85" i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<sst xmlns="http://schemas.openxmlformats.org/spreadsheetml/2006/main" count="82" uniqueCount="50">
  <si>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</si>
  <si>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</si>
  <si>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Gobierno del Estado de México</t>
  </si>
  <si>
    <t>Estado Analítico del Ejercicio del Presupuesto de Egresos Detallado - LDF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</si>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</sst>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6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1" fillId="0" borderId="7" xfId="0" applyFont="1" applyFill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 wrapText="1"/>
    </xf>
    <xf numFmtId="164" fontId="1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0" fontId="4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zoomScale="125" zoomScaleNormal="125" workbookViewId="0">
      <selection activeCell="C68" sqref="C68"/>
    </sheetView>
  </sheetViews>
  <sheetFormatPr baseColWidth="10" defaultColWidth="11.42578125" defaultRowHeight="15" x14ac:dyDescent="0.25"/>
  <cols>
    <col min="1" max="1" width="3.5703125" style="1" customWidth="1"/>
    <col min="2" max="2" width="3.28515625" style="1" customWidth="1"/>
    <col min="3" max="3" width="42.7109375" style="1" customWidth="1"/>
    <col min="4" max="4" width="13.42578125" style="1" customWidth="1"/>
    <col min="5" max="5" width="14.7109375" style="1" customWidth="1"/>
    <col min="6" max="6" width="13" style="1" customWidth="1"/>
    <col min="7" max="7" width="13.5703125" style="1" customWidth="1"/>
    <col min="8" max="8" width="12.28515625" style="1" customWidth="1"/>
    <col min="9" max="9" width="13.7109375" style="1" customWidth="1"/>
    <col min="10" max="16384" width="11.42578125" style="1"/>
  </cols>
  <sheetData>
    <row r="1" spans="1:9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37" t="s">
        <v>2</v>
      </c>
      <c r="B3" s="38"/>
      <c r="C3" s="38"/>
      <c r="D3" s="38"/>
      <c r="E3" s="38"/>
      <c r="F3" s="38"/>
      <c r="G3" s="38"/>
      <c r="H3" s="38"/>
      <c r="I3" s="39"/>
    </row>
    <row r="4" spans="1:9" x14ac:dyDescent="0.25">
      <c r="A4" s="40" t="s">
        <v>3</v>
      </c>
      <c r="B4" s="41"/>
      <c r="C4" s="41"/>
      <c r="D4" s="41"/>
      <c r="E4" s="41"/>
      <c r="F4" s="41"/>
      <c r="G4" s="41"/>
      <c r="H4" s="41"/>
      <c r="I4" s="42"/>
    </row>
    <row r="5" spans="1:9" x14ac:dyDescent="0.25">
      <c r="A5" s="40" t="s">
        <v>4</v>
      </c>
      <c r="B5" s="41"/>
      <c r="C5" s="41"/>
      <c r="D5" s="41"/>
      <c r="E5" s="41"/>
      <c r="F5" s="41"/>
      <c r="G5" s="41"/>
      <c r="H5" s="41"/>
      <c r="I5" s="42"/>
    </row>
    <row r="6" spans="1:9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2"/>
    </row>
    <row r="7" spans="1:9" x14ac:dyDescent="0.25">
      <c r="A7" s="43" t="s">
        <v>5</v>
      </c>
      <c r="B7" s="44"/>
      <c r="C7" s="44"/>
      <c r="D7" s="44"/>
      <c r="E7" s="44"/>
      <c r="F7" s="44"/>
      <c r="G7" s="44"/>
      <c r="H7" s="44"/>
      <c r="I7" s="45"/>
    </row>
    <row r="8" spans="1:9" x14ac:dyDescent="0.25">
      <c r="A8" s="46" t="s">
        <v>6</v>
      </c>
      <c r="B8" s="46"/>
      <c r="C8" s="46"/>
      <c r="D8" s="47" t="s">
        <v>7</v>
      </c>
      <c r="E8" s="47"/>
      <c r="F8" s="47"/>
      <c r="G8" s="47"/>
      <c r="H8" s="47"/>
      <c r="I8" s="47" t="s">
        <v>8</v>
      </c>
    </row>
    <row r="9" spans="1:9" ht="16.5" x14ac:dyDescent="0.25">
      <c r="A9" s="46"/>
      <c r="B9" s="46"/>
      <c r="C9" s="46"/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47"/>
    </row>
    <row r="10" spans="1:9" x14ac:dyDescent="0.25">
      <c r="A10" s="31"/>
      <c r="B10" s="32"/>
      <c r="C10" s="33"/>
      <c r="D10" s="3"/>
      <c r="E10" s="3"/>
      <c r="F10" s="3"/>
      <c r="G10" s="3"/>
      <c r="H10" s="3"/>
      <c r="I10" s="3"/>
    </row>
    <row r="11" spans="1:9" ht="12" customHeight="1" x14ac:dyDescent="0.25">
      <c r="A11" s="34" t="s">
        <v>14</v>
      </c>
      <c r="B11" s="35"/>
      <c r="C11" s="36"/>
      <c r="D11" s="4">
        <f>+D12+D22+D31+D42</f>
        <v>136466315.83899999</v>
      </c>
      <c r="E11" s="4">
        <f t="shared" ref="E11:I11" si="0">+E12+E22+E31+E42</f>
        <v>571970.59754000057</v>
      </c>
      <c r="F11" s="4">
        <f t="shared" si="0"/>
        <v>137038286.43654001</v>
      </c>
      <c r="G11" s="4">
        <f>+G12+G22+G31+G42</f>
        <v>113874063.98999999</v>
      </c>
      <c r="H11" s="4">
        <f t="shared" si="0"/>
        <v>113368081.40000001</v>
      </c>
      <c r="I11" s="4">
        <f t="shared" si="0"/>
        <v>23164222.446539998</v>
      </c>
    </row>
    <row r="12" spans="1:9" ht="12" customHeight="1" x14ac:dyDescent="0.25">
      <c r="A12" s="5"/>
      <c r="B12" s="6" t="s">
        <v>15</v>
      </c>
      <c r="C12" s="7"/>
      <c r="D12" s="8">
        <f>SUM(D13:D20)</f>
        <v>32814864.713999994</v>
      </c>
      <c r="E12" s="8">
        <f t="shared" ref="E12:I12" si="1">SUM(E13:E20)</f>
        <v>540359.90000000061</v>
      </c>
      <c r="F12" s="8">
        <f t="shared" si="1"/>
        <v>33355224.614000004</v>
      </c>
      <c r="G12" s="8">
        <f t="shared" si="1"/>
        <v>27891384</v>
      </c>
      <c r="H12" s="8">
        <f t="shared" si="1"/>
        <v>26833503.599999998</v>
      </c>
      <c r="I12" s="8">
        <f t="shared" si="1"/>
        <v>5463840.6140000001</v>
      </c>
    </row>
    <row r="13" spans="1:9" ht="12" customHeight="1" x14ac:dyDescent="0.25">
      <c r="A13" s="9"/>
      <c r="B13" s="10"/>
      <c r="C13" s="11" t="s">
        <v>16</v>
      </c>
      <c r="D13" s="12">
        <v>1675935.45</v>
      </c>
      <c r="E13" s="12">
        <v>0</v>
      </c>
      <c r="F13" s="13">
        <f>+D13+E13</f>
        <v>1675935.45</v>
      </c>
      <c r="G13" s="12">
        <v>1211374</v>
      </c>
      <c r="H13" s="12">
        <v>1211374</v>
      </c>
      <c r="I13" s="13">
        <f>+F13-G13</f>
        <v>464561.44999999995</v>
      </c>
    </row>
    <row r="14" spans="1:9" ht="12" customHeight="1" x14ac:dyDescent="0.25">
      <c r="A14" s="9"/>
      <c r="B14" s="10"/>
      <c r="C14" s="11" t="s">
        <v>17</v>
      </c>
      <c r="D14" s="12">
        <f>9312083.281-13354.7</f>
        <v>9298728.5810000002</v>
      </c>
      <c r="E14" s="12">
        <v>-3071983.3</v>
      </c>
      <c r="F14" s="13">
        <f t="shared" ref="F14:F20" si="2">+D14+E14</f>
        <v>6226745.2810000004</v>
      </c>
      <c r="G14" s="12">
        <f>4499713.3-13354.7</f>
        <v>4486358.5999999996</v>
      </c>
      <c r="H14" s="12">
        <f>4419775.7-13354.7</f>
        <v>4406421</v>
      </c>
      <c r="I14" s="13">
        <f t="shared" ref="I14:I20" si="3">+F14-G14</f>
        <v>1740386.6810000008</v>
      </c>
    </row>
    <row r="15" spans="1:9" ht="12" customHeight="1" x14ac:dyDescent="0.25">
      <c r="A15" s="9"/>
      <c r="B15" s="10"/>
      <c r="C15" s="11" t="s">
        <v>18</v>
      </c>
      <c r="D15" s="12">
        <f>5941230.697-45385</f>
        <v>5895845.6969999997</v>
      </c>
      <c r="E15" s="12">
        <v>232229.6</v>
      </c>
      <c r="F15" s="13">
        <f t="shared" si="2"/>
        <v>6128075.2969999993</v>
      </c>
      <c r="G15" s="12">
        <f>5528476.6-45385</f>
        <v>5483091.5999999996</v>
      </c>
      <c r="H15" s="12">
        <f>5290962.7-45385</f>
        <v>5245577.7</v>
      </c>
      <c r="I15" s="13">
        <f t="shared" si="3"/>
        <v>644983.69699999969</v>
      </c>
    </row>
    <row r="16" spans="1:9" ht="12" customHeight="1" x14ac:dyDescent="0.25">
      <c r="A16" s="9"/>
      <c r="B16" s="10"/>
      <c r="C16" s="11" t="s">
        <v>19</v>
      </c>
      <c r="D16" s="12">
        <f>38081.236-10045.4</f>
        <v>28035.835999999996</v>
      </c>
      <c r="E16" s="12">
        <v>309.10000000000002</v>
      </c>
      <c r="F16" s="13">
        <f t="shared" si="2"/>
        <v>28344.935999999994</v>
      </c>
      <c r="G16" s="12">
        <f>41002.9-10045.4</f>
        <v>30957.5</v>
      </c>
      <c r="H16" s="12">
        <f>40883.6-10045.4</f>
        <v>30838.199999999997</v>
      </c>
      <c r="I16" s="13">
        <f t="shared" si="3"/>
        <v>-2612.5640000000058</v>
      </c>
    </row>
    <row r="17" spans="1:9" ht="12" customHeight="1" x14ac:dyDescent="0.25">
      <c r="A17" s="9"/>
      <c r="B17" s="10"/>
      <c r="C17" s="11" t="s">
        <v>20</v>
      </c>
      <c r="D17" s="12">
        <v>8912697.6370000001</v>
      </c>
      <c r="E17" s="12">
        <v>287825.59999999998</v>
      </c>
      <c r="F17" s="13">
        <f t="shared" si="2"/>
        <v>9200523.2369999997</v>
      </c>
      <c r="G17" s="12">
        <v>6876328.9000000004</v>
      </c>
      <c r="H17" s="12">
        <v>6432999.9000000004</v>
      </c>
      <c r="I17" s="13">
        <f t="shared" si="3"/>
        <v>2324194.3369999994</v>
      </c>
    </row>
    <row r="18" spans="1:9" ht="12" customHeight="1" x14ac:dyDescent="0.25">
      <c r="A18" s="9"/>
      <c r="B18" s="10"/>
      <c r="C18" s="11" t="s">
        <v>21</v>
      </c>
      <c r="D18" s="12">
        <v>0</v>
      </c>
      <c r="E18" s="12">
        <v>0</v>
      </c>
      <c r="F18" s="13">
        <f t="shared" si="2"/>
        <v>0</v>
      </c>
      <c r="G18" s="12">
        <v>0</v>
      </c>
      <c r="H18" s="12">
        <v>0</v>
      </c>
      <c r="I18" s="13">
        <f t="shared" si="3"/>
        <v>0</v>
      </c>
    </row>
    <row r="19" spans="1:9" ht="12" customHeight="1" x14ac:dyDescent="0.25">
      <c r="A19" s="9"/>
      <c r="B19" s="10"/>
      <c r="C19" s="11" t="s">
        <v>22</v>
      </c>
      <c r="D19" s="12">
        <f>11070882.671-4828665.4</f>
        <v>6242217.2709999997</v>
      </c>
      <c r="E19" s="12">
        <v>3079541.2</v>
      </c>
      <c r="F19" s="13">
        <f t="shared" si="2"/>
        <v>9321758.4710000008</v>
      </c>
      <c r="G19" s="12">
        <f>11206091.6-2009694.1</f>
        <v>9196397.5</v>
      </c>
      <c r="H19" s="12">
        <f>10939976.6-2009694.1</f>
        <v>8930282.5</v>
      </c>
      <c r="I19" s="13">
        <f t="shared" si="3"/>
        <v>125360.97100000083</v>
      </c>
    </row>
    <row r="20" spans="1:9" ht="12" customHeight="1" x14ac:dyDescent="0.25">
      <c r="A20" s="9"/>
      <c r="B20" s="10"/>
      <c r="C20" s="11" t="s">
        <v>23</v>
      </c>
      <c r="D20" s="12">
        <v>761404.24199999997</v>
      </c>
      <c r="E20" s="12">
        <v>12437.7</v>
      </c>
      <c r="F20" s="13">
        <f t="shared" si="2"/>
        <v>773841.94199999992</v>
      </c>
      <c r="G20" s="12">
        <v>606875.9</v>
      </c>
      <c r="H20" s="12">
        <v>576010.30000000005</v>
      </c>
      <c r="I20" s="13">
        <f t="shared" si="3"/>
        <v>166966.0419999999</v>
      </c>
    </row>
    <row r="21" spans="1:9" ht="8.1" customHeight="1" x14ac:dyDescent="0.25">
      <c r="A21" s="14"/>
      <c r="B21" s="15"/>
      <c r="C21" s="16"/>
      <c r="D21" s="8"/>
      <c r="E21" s="8"/>
      <c r="F21" s="13"/>
      <c r="G21" s="8"/>
      <c r="H21" s="8"/>
      <c r="I21" s="13"/>
    </row>
    <row r="22" spans="1:9" ht="12" customHeight="1" x14ac:dyDescent="0.25">
      <c r="A22" s="5"/>
      <c r="B22" s="6" t="s">
        <v>24</v>
      </c>
      <c r="C22" s="7"/>
      <c r="D22" s="8">
        <f>SUM(D23:D29)</f>
        <v>65277567.982999995</v>
      </c>
      <c r="E22" s="8">
        <f t="shared" ref="E22:I22" si="4">SUM(E23:E29)</f>
        <v>124946.83326</v>
      </c>
      <c r="F22" s="8">
        <f t="shared" si="4"/>
        <v>65402514.816260003</v>
      </c>
      <c r="G22" s="8">
        <f t="shared" si="4"/>
        <v>57771465.390000001</v>
      </c>
      <c r="H22" s="8">
        <f t="shared" si="4"/>
        <v>62885839.800000004</v>
      </c>
      <c r="I22" s="8">
        <f t="shared" si="4"/>
        <v>7631049.4262599973</v>
      </c>
    </row>
    <row r="23" spans="1:9" ht="12" customHeight="1" x14ac:dyDescent="0.25">
      <c r="A23" s="9"/>
      <c r="B23" s="10"/>
      <c r="C23" s="11" t="s">
        <v>25</v>
      </c>
      <c r="D23" s="12">
        <f>2929048.329-191116.5</f>
        <v>2737931.8289999999</v>
      </c>
      <c r="E23" s="12">
        <v>52412.804680000001</v>
      </c>
      <c r="F23" s="13">
        <f t="shared" ref="F23:F29" si="5">+D23+E23</f>
        <v>2790344.63368</v>
      </c>
      <c r="G23" s="12">
        <f>2008688.7-66261.7</f>
        <v>1942427</v>
      </c>
      <c r="H23" s="12">
        <f>1944268-66261.7</f>
        <v>1878006.3</v>
      </c>
      <c r="I23" s="13">
        <f t="shared" ref="I23:I29" si="6">+F23-G23</f>
        <v>847917.63367999997</v>
      </c>
    </row>
    <row r="24" spans="1:9" ht="12" customHeight="1" x14ac:dyDescent="0.25">
      <c r="A24" s="9"/>
      <c r="B24" s="10"/>
      <c r="C24" s="11" t="s">
        <v>26</v>
      </c>
      <c r="D24" s="12">
        <f>39537887.177-2401457.5</f>
        <v>37136429.677000001</v>
      </c>
      <c r="E24" s="12">
        <v>-276121.87966999999</v>
      </c>
      <c r="F24" s="13">
        <f t="shared" si="5"/>
        <v>36860307.79733</v>
      </c>
      <c r="G24" s="12">
        <f>31315972.2-2401457.5</f>
        <v>28914514.699999999</v>
      </c>
      <c r="H24" s="12">
        <f>31013239.2-2401457.5</f>
        <v>28611781.699999999</v>
      </c>
      <c r="I24" s="13">
        <f t="shared" si="6"/>
        <v>7945793.0973300003</v>
      </c>
    </row>
    <row r="25" spans="1:9" ht="12" customHeight="1" x14ac:dyDescent="0.25">
      <c r="A25" s="9"/>
      <c r="B25" s="10"/>
      <c r="C25" s="11" t="s">
        <v>27</v>
      </c>
      <c r="D25" s="12">
        <f>24747490.718-25755242.7+2000000</f>
        <v>992248.01799999923</v>
      </c>
      <c r="E25" s="12">
        <v>-69376.7</v>
      </c>
      <c r="F25" s="13">
        <f t="shared" si="5"/>
        <v>922871.31799999927</v>
      </c>
      <c r="G25" s="12">
        <f>19837509.39-14160613.8</f>
        <v>5676895.5899999999</v>
      </c>
      <c r="H25" s="12">
        <f>19837494.1-14160613.8</f>
        <v>5676880.3000000007</v>
      </c>
      <c r="I25" s="13">
        <f t="shared" si="6"/>
        <v>-4754024.2720000008</v>
      </c>
    </row>
    <row r="26" spans="1:9" ht="12" customHeight="1" x14ac:dyDescent="0.25">
      <c r="A26" s="9"/>
      <c r="B26" s="10"/>
      <c r="C26" s="11" t="s">
        <v>28</v>
      </c>
      <c r="D26" s="12">
        <f>2202916.359-224055.4</f>
        <v>1978860.9590000003</v>
      </c>
      <c r="E26" s="12">
        <v>156888.42825</v>
      </c>
      <c r="F26" s="13">
        <f t="shared" si="5"/>
        <v>2135749.3872500001</v>
      </c>
      <c r="G26" s="12">
        <f>1973922-224055.4</f>
        <v>1749866.6</v>
      </c>
      <c r="H26" s="12">
        <f>1939069.1-224055.4</f>
        <v>1715013.7000000002</v>
      </c>
      <c r="I26" s="13">
        <f t="shared" si="6"/>
        <v>385882.78725000005</v>
      </c>
    </row>
    <row r="27" spans="1:9" ht="12" customHeight="1" x14ac:dyDescent="0.25">
      <c r="A27" s="9"/>
      <c r="B27" s="10"/>
      <c r="C27" s="11" t="s">
        <v>29</v>
      </c>
      <c r="D27" s="12">
        <f>50821609.026+5037177.5-37335033.5-2000000</f>
        <v>16523753.026000001</v>
      </c>
      <c r="E27" s="12">
        <v>258179.20000000001</v>
      </c>
      <c r="F27" s="13">
        <f t="shared" si="5"/>
        <v>16781932.226</v>
      </c>
      <c r="G27" s="12">
        <f>44050204.2-28110264.2</f>
        <v>15939940.000000004</v>
      </c>
      <c r="H27" s="12">
        <f>49931681.9-28110264.2</f>
        <v>21821417.699999999</v>
      </c>
      <c r="I27" s="13">
        <f t="shared" si="6"/>
        <v>841992.22599999607</v>
      </c>
    </row>
    <row r="28" spans="1:9" ht="12" customHeight="1" x14ac:dyDescent="0.25">
      <c r="A28" s="9"/>
      <c r="B28" s="10"/>
      <c r="C28" s="11" t="s">
        <v>30</v>
      </c>
      <c r="D28" s="12">
        <f>6791129.274-882784.8</f>
        <v>5908344.4740000004</v>
      </c>
      <c r="E28" s="12">
        <v>2964.98</v>
      </c>
      <c r="F28" s="13">
        <f t="shared" si="5"/>
        <v>5911309.4540000008</v>
      </c>
      <c r="G28" s="12">
        <f>4430606.3-882784.8</f>
        <v>3547821.5</v>
      </c>
      <c r="H28" s="12">
        <f>4065524.9-882784.8</f>
        <v>3182740.0999999996</v>
      </c>
      <c r="I28" s="13">
        <f t="shared" si="6"/>
        <v>2363487.9540000008</v>
      </c>
    </row>
    <row r="29" spans="1:9" ht="12" customHeight="1" x14ac:dyDescent="0.25">
      <c r="A29" s="9"/>
      <c r="B29" s="10"/>
      <c r="C29" s="11" t="s">
        <v>31</v>
      </c>
      <c r="D29" s="12">
        <v>0</v>
      </c>
      <c r="E29" s="12">
        <v>0</v>
      </c>
      <c r="F29" s="13">
        <f t="shared" si="5"/>
        <v>0</v>
      </c>
      <c r="G29" s="12">
        <v>0</v>
      </c>
      <c r="H29" s="12">
        <v>0</v>
      </c>
      <c r="I29" s="13">
        <f t="shared" si="6"/>
        <v>0</v>
      </c>
    </row>
    <row r="30" spans="1:9" ht="8.1" customHeight="1" x14ac:dyDescent="0.25">
      <c r="A30" s="14"/>
      <c r="B30" s="15"/>
      <c r="C30" s="16"/>
      <c r="D30" s="8"/>
      <c r="E30" s="8"/>
      <c r="F30" s="13"/>
      <c r="G30" s="8"/>
      <c r="H30" s="8"/>
      <c r="I30" s="13"/>
    </row>
    <row r="31" spans="1:9" ht="12" customHeight="1" x14ac:dyDescent="0.25">
      <c r="A31" s="5"/>
      <c r="B31" s="6" t="s">
        <v>32</v>
      </c>
      <c r="C31" s="7"/>
      <c r="D31" s="8">
        <f>SUM(D32:D40)</f>
        <v>11595050.732999999</v>
      </c>
      <c r="E31" s="8">
        <f t="shared" ref="E31:I31" si="7">SUM(E32:E40)</f>
        <v>-111097.15372</v>
      </c>
      <c r="F31" s="8">
        <f t="shared" si="7"/>
        <v>11483953.57928</v>
      </c>
      <c r="G31" s="8">
        <f t="shared" si="7"/>
        <v>5700269.2999999998</v>
      </c>
      <c r="H31" s="8">
        <f t="shared" si="7"/>
        <v>5143612.6000000006</v>
      </c>
      <c r="I31" s="8">
        <f t="shared" si="7"/>
        <v>5783684.2792799994</v>
      </c>
    </row>
    <row r="32" spans="1:9" ht="12" customHeight="1" x14ac:dyDescent="0.25">
      <c r="A32" s="9"/>
      <c r="B32" s="10"/>
      <c r="C32" s="11" t="s">
        <v>33</v>
      </c>
      <c r="D32" s="12">
        <f>920381.995-174697.8</f>
        <v>745684.19500000007</v>
      </c>
      <c r="E32" s="12">
        <v>3430.3276700000001</v>
      </c>
      <c r="F32" s="13">
        <f t="shared" ref="F32:F40" si="8">+D32+E32</f>
        <v>749114.52267000009</v>
      </c>
      <c r="G32" s="12">
        <f>519310.5-174697.8</f>
        <v>344612.7</v>
      </c>
      <c r="H32" s="12">
        <f>499393.8-174697.8</f>
        <v>324696</v>
      </c>
      <c r="I32" s="13">
        <f t="shared" ref="I32:I40" si="9">+F32-G32</f>
        <v>404501.82267000008</v>
      </c>
    </row>
    <row r="33" spans="1:9" ht="12" customHeight="1" x14ac:dyDescent="0.25">
      <c r="A33" s="9"/>
      <c r="B33" s="10"/>
      <c r="C33" s="11" t="s">
        <v>34</v>
      </c>
      <c r="D33" s="12">
        <f>1851162.998-59740.8</f>
        <v>1791422.1979999999</v>
      </c>
      <c r="E33" s="12">
        <v>234.38499999999996</v>
      </c>
      <c r="F33" s="13">
        <f t="shared" si="8"/>
        <v>1791656.5829999999</v>
      </c>
      <c r="G33" s="12">
        <f>1682332.4-59740.8</f>
        <v>1622591.5999999999</v>
      </c>
      <c r="H33" s="12">
        <f>1515423.9-59740.8</f>
        <v>1455683.0999999999</v>
      </c>
      <c r="I33" s="13">
        <f t="shared" si="9"/>
        <v>169064.98300000001</v>
      </c>
    </row>
    <row r="34" spans="1:9" ht="12" customHeight="1" x14ac:dyDescent="0.25">
      <c r="A34" s="9"/>
      <c r="B34" s="10"/>
      <c r="C34" s="11" t="s">
        <v>35</v>
      </c>
      <c r="D34" s="12">
        <v>194917.47700000001</v>
      </c>
      <c r="E34" s="12">
        <v>0</v>
      </c>
      <c r="F34" s="13">
        <f t="shared" si="8"/>
        <v>194917.47700000001</v>
      </c>
      <c r="G34" s="12">
        <v>38431.300000000003</v>
      </c>
      <c r="H34" s="12">
        <v>36321.300000000003</v>
      </c>
      <c r="I34" s="13">
        <f t="shared" si="9"/>
        <v>156486.17700000003</v>
      </c>
    </row>
    <row r="35" spans="1:9" ht="12" customHeight="1" x14ac:dyDescent="0.25">
      <c r="A35" s="9"/>
      <c r="B35" s="10"/>
      <c r="C35" s="11" t="s">
        <v>36</v>
      </c>
      <c r="D35" s="12">
        <v>626705.63100000005</v>
      </c>
      <c r="E35" s="12">
        <v>21554.36261</v>
      </c>
      <c r="F35" s="13">
        <f t="shared" si="8"/>
        <v>648259.99361</v>
      </c>
      <c r="G35" s="12">
        <v>265604.7</v>
      </c>
      <c r="H35" s="12">
        <v>256797.6</v>
      </c>
      <c r="I35" s="13">
        <f t="shared" si="9"/>
        <v>382655.29360999999</v>
      </c>
    </row>
    <row r="36" spans="1:9" ht="12" customHeight="1" x14ac:dyDescent="0.25">
      <c r="A36" s="9"/>
      <c r="B36" s="10"/>
      <c r="C36" s="11" t="s">
        <v>37</v>
      </c>
      <c r="D36" s="12">
        <f>7092821.307-128436.9</f>
        <v>6964384.4069999997</v>
      </c>
      <c r="E36" s="12">
        <v>-153594.6</v>
      </c>
      <c r="F36" s="13">
        <f t="shared" si="8"/>
        <v>6810789.807</v>
      </c>
      <c r="G36" s="12">
        <f>3036488.9-128436.9</f>
        <v>2908052</v>
      </c>
      <c r="H36" s="12">
        <f>2817149.6-128436.9</f>
        <v>2688712.7</v>
      </c>
      <c r="I36" s="13">
        <f t="shared" si="9"/>
        <v>3902737.807</v>
      </c>
    </row>
    <row r="37" spans="1:9" ht="12" customHeight="1" x14ac:dyDescent="0.25">
      <c r="A37" s="9"/>
      <c r="B37" s="10"/>
      <c r="C37" s="11" t="s">
        <v>38</v>
      </c>
      <c r="D37" s="12">
        <v>2196.6329999999998</v>
      </c>
      <c r="E37" s="12">
        <v>1898.3710000000001</v>
      </c>
      <c r="F37" s="13">
        <f t="shared" si="8"/>
        <v>4095.0039999999999</v>
      </c>
      <c r="G37" s="12">
        <v>1588.7</v>
      </c>
      <c r="H37" s="12">
        <v>1588.7</v>
      </c>
      <c r="I37" s="13">
        <f t="shared" si="9"/>
        <v>2506.3040000000001</v>
      </c>
    </row>
    <row r="38" spans="1:9" ht="12" customHeight="1" x14ac:dyDescent="0.25">
      <c r="A38" s="9"/>
      <c r="B38" s="10"/>
      <c r="C38" s="11" t="s">
        <v>39</v>
      </c>
      <c r="D38" s="12">
        <f>266639.813-3000</f>
        <v>263639.81300000002</v>
      </c>
      <c r="E38" s="12">
        <v>5380</v>
      </c>
      <c r="F38" s="13">
        <f t="shared" si="8"/>
        <v>269019.81300000002</v>
      </c>
      <c r="G38" s="12">
        <f>117548.5-3000</f>
        <v>114548.5</v>
      </c>
      <c r="H38" s="12">
        <f>101548.4-3000</f>
        <v>98548.4</v>
      </c>
      <c r="I38" s="13">
        <f t="shared" si="9"/>
        <v>154471.31300000002</v>
      </c>
    </row>
    <row r="39" spans="1:9" ht="12" customHeight="1" x14ac:dyDescent="0.25">
      <c r="A39" s="9"/>
      <c r="B39" s="10"/>
      <c r="C39" s="11" t="s">
        <v>40</v>
      </c>
      <c r="D39" s="12">
        <v>965041.86699999997</v>
      </c>
      <c r="E39" s="12">
        <v>10000</v>
      </c>
      <c r="F39" s="13">
        <f t="shared" si="8"/>
        <v>975041.86699999997</v>
      </c>
      <c r="G39" s="12">
        <v>388902.6</v>
      </c>
      <c r="H39" s="12">
        <v>265327.59999999998</v>
      </c>
      <c r="I39" s="13">
        <f t="shared" si="9"/>
        <v>586139.26699999999</v>
      </c>
    </row>
    <row r="40" spans="1:9" ht="12" customHeight="1" x14ac:dyDescent="0.25">
      <c r="A40" s="9"/>
      <c r="B40" s="10"/>
      <c r="C40" s="11" t="s">
        <v>41</v>
      </c>
      <c r="D40" s="12">
        <v>41058.512000000002</v>
      </c>
      <c r="E40" s="12">
        <v>0</v>
      </c>
      <c r="F40" s="13">
        <f t="shared" si="8"/>
        <v>41058.512000000002</v>
      </c>
      <c r="G40" s="12">
        <v>15937.2</v>
      </c>
      <c r="H40" s="12">
        <v>15937.2</v>
      </c>
      <c r="I40" s="13">
        <f t="shared" si="9"/>
        <v>25121.312000000002</v>
      </c>
    </row>
    <row r="41" spans="1:9" ht="8.1" customHeight="1" x14ac:dyDescent="0.25">
      <c r="A41" s="14"/>
      <c r="B41" s="15"/>
      <c r="C41" s="16"/>
      <c r="D41" s="8"/>
      <c r="E41" s="8"/>
      <c r="F41" s="13"/>
      <c r="G41" s="8"/>
      <c r="H41" s="8"/>
      <c r="I41" s="13"/>
    </row>
    <row r="42" spans="1:9" ht="12" customHeight="1" x14ac:dyDescent="0.25">
      <c r="A42" s="5"/>
      <c r="B42" s="6" t="s">
        <v>42</v>
      </c>
      <c r="C42" s="7"/>
      <c r="D42" s="8">
        <f>SUM(D43:D46)</f>
        <v>26778832.409000002</v>
      </c>
      <c r="E42" s="8">
        <f t="shared" ref="E42:I42" si="10">SUM(E43:E46)</f>
        <v>17761.018</v>
      </c>
      <c r="F42" s="8">
        <f t="shared" si="10"/>
        <v>26796593.427000001</v>
      </c>
      <c r="G42" s="8">
        <f t="shared" si="10"/>
        <v>22510945.300000001</v>
      </c>
      <c r="H42" s="8">
        <f>SUM(H43:H46)</f>
        <v>18505125.400000002</v>
      </c>
      <c r="I42" s="8">
        <f t="shared" si="10"/>
        <v>4285648.1270000022</v>
      </c>
    </row>
    <row r="43" spans="1:9" ht="12" customHeight="1" x14ac:dyDescent="0.25">
      <c r="A43" s="9"/>
      <c r="B43" s="10"/>
      <c r="C43" s="11" t="s">
        <v>43</v>
      </c>
      <c r="D43" s="12">
        <f>7312000-5445309.6</f>
        <v>1866690.4000000004</v>
      </c>
      <c r="E43" s="12">
        <v>17761.018</v>
      </c>
      <c r="F43" s="13">
        <f t="shared" ref="F43:F46" si="11">+D43+E43</f>
        <v>1884451.4180000003</v>
      </c>
      <c r="G43" s="12">
        <f>4320235-3145515.2</f>
        <v>1174719.7999999998</v>
      </c>
      <c r="H43" s="12">
        <f>4318895-3145515.2</f>
        <v>1173379.7999999998</v>
      </c>
      <c r="I43" s="13">
        <f t="shared" ref="I43:I46" si="12">+F43-G43</f>
        <v>709731.61800000048</v>
      </c>
    </row>
    <row r="44" spans="1:9" ht="18" customHeight="1" x14ac:dyDescent="0.25">
      <c r="A44" s="9"/>
      <c r="B44" s="10"/>
      <c r="C44" s="11" t="s">
        <v>44</v>
      </c>
      <c r="D44" s="12">
        <f>35942109.809-13490667.8</f>
        <v>22451442.009</v>
      </c>
      <c r="E44" s="12">
        <v>0</v>
      </c>
      <c r="F44" s="13">
        <f t="shared" si="11"/>
        <v>22451442.009</v>
      </c>
      <c r="G44" s="12">
        <f>29599144.9-10709625</f>
        <v>18889519.899999999</v>
      </c>
      <c r="H44" s="12">
        <f>25594665-10709625</f>
        <v>14885040</v>
      </c>
      <c r="I44" s="13">
        <f t="shared" si="12"/>
        <v>3561922.1090000011</v>
      </c>
    </row>
    <row r="45" spans="1:9" ht="12" customHeight="1" x14ac:dyDescent="0.25">
      <c r="A45" s="9"/>
      <c r="B45" s="10"/>
      <c r="C45" s="11" t="s">
        <v>45</v>
      </c>
      <c r="D45" s="12">
        <v>0</v>
      </c>
      <c r="E45" s="12">
        <v>0</v>
      </c>
      <c r="F45" s="13">
        <f t="shared" si="11"/>
        <v>0</v>
      </c>
      <c r="G45" s="12">
        <v>0</v>
      </c>
      <c r="H45" s="12">
        <v>0</v>
      </c>
      <c r="I45" s="13">
        <f t="shared" si="12"/>
        <v>0</v>
      </c>
    </row>
    <row r="46" spans="1:9" ht="12" customHeight="1" x14ac:dyDescent="0.25">
      <c r="A46" s="9"/>
      <c r="B46" s="10"/>
      <c r="C46" s="11" t="s">
        <v>46</v>
      </c>
      <c r="D46" s="12">
        <v>2460700</v>
      </c>
      <c r="E46" s="12">
        <v>0</v>
      </c>
      <c r="F46" s="13">
        <f t="shared" si="11"/>
        <v>2460700</v>
      </c>
      <c r="G46" s="12">
        <v>2446705.6</v>
      </c>
      <c r="H46" s="12">
        <v>2446705.6</v>
      </c>
      <c r="I46" s="13">
        <f t="shared" si="12"/>
        <v>13994.399999999907</v>
      </c>
    </row>
    <row r="47" spans="1:9" ht="8.1" customHeight="1" x14ac:dyDescent="0.25">
      <c r="A47" s="14"/>
      <c r="B47" s="15"/>
      <c r="C47" s="16"/>
      <c r="D47" s="8"/>
      <c r="E47" s="8"/>
      <c r="F47" s="13"/>
      <c r="G47" s="8"/>
      <c r="H47" s="8"/>
      <c r="I47" s="13"/>
    </row>
    <row r="48" spans="1:9" ht="12" customHeight="1" x14ac:dyDescent="0.25">
      <c r="A48" s="28" t="s">
        <v>47</v>
      </c>
      <c r="B48" s="29"/>
      <c r="C48" s="30"/>
      <c r="D48" s="8">
        <f>+D49+D59+D68+D79</f>
        <v>90988993.799999982</v>
      </c>
      <c r="E48" s="8">
        <f t="shared" ref="E48:I48" si="13">+E49+E59+E68+E79</f>
        <v>0</v>
      </c>
      <c r="F48" s="8">
        <f t="shared" si="13"/>
        <v>90988993.799999982</v>
      </c>
      <c r="G48" s="8">
        <f>+G49+G59+G68+G79</f>
        <v>62144932.299999997</v>
      </c>
      <c r="H48" s="8">
        <f t="shared" si="13"/>
        <v>62144932.299999997</v>
      </c>
      <c r="I48" s="8">
        <f t="shared" si="13"/>
        <v>28844061.5</v>
      </c>
    </row>
    <row r="49" spans="1:11" ht="12" customHeight="1" x14ac:dyDescent="0.25">
      <c r="A49" s="5"/>
      <c r="B49" s="6" t="s">
        <v>15</v>
      </c>
      <c r="C49" s="7"/>
      <c r="D49" s="8">
        <f>SUM(D50:D57)</f>
        <v>4897450.4999999991</v>
      </c>
      <c r="E49" s="8">
        <f t="shared" ref="E49:I49" si="14">SUM(E50:E57)</f>
        <v>0</v>
      </c>
      <c r="F49" s="8">
        <f t="shared" si="14"/>
        <v>4897450.4999999991</v>
      </c>
      <c r="G49" s="8">
        <f t="shared" si="14"/>
        <v>2078479.2000000002</v>
      </c>
      <c r="H49" s="8">
        <f t="shared" si="14"/>
        <v>2078479.2000000002</v>
      </c>
      <c r="I49" s="8">
        <f t="shared" si="14"/>
        <v>2818971.2999999993</v>
      </c>
      <c r="K49" s="17"/>
    </row>
    <row r="50" spans="1:11" ht="12" customHeight="1" x14ac:dyDescent="0.25">
      <c r="A50" s="9"/>
      <c r="B50" s="10"/>
      <c r="C50" s="11" t="s">
        <v>16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11" ht="12" customHeight="1" x14ac:dyDescent="0.25">
      <c r="A51" s="9"/>
      <c r="B51" s="10"/>
      <c r="C51" s="11" t="s">
        <v>17</v>
      </c>
      <c r="D51" s="12">
        <v>13354.7</v>
      </c>
      <c r="E51" s="12">
        <v>0</v>
      </c>
      <c r="F51" s="12">
        <f>+D51+E51</f>
        <v>13354.7</v>
      </c>
      <c r="G51" s="12">
        <v>13354.7</v>
      </c>
      <c r="H51" s="12">
        <v>13354.7</v>
      </c>
      <c r="I51" s="12">
        <f>+F51-G51</f>
        <v>0</v>
      </c>
    </row>
    <row r="52" spans="1:11" ht="12" customHeight="1" x14ac:dyDescent="0.25">
      <c r="A52" s="9"/>
      <c r="B52" s="10"/>
      <c r="C52" s="11" t="s">
        <v>18</v>
      </c>
      <c r="D52" s="12">
        <v>45385</v>
      </c>
      <c r="E52" s="12">
        <v>0</v>
      </c>
      <c r="F52" s="12">
        <f>+D52+E52</f>
        <v>45385</v>
      </c>
      <c r="G52" s="12">
        <v>45385</v>
      </c>
      <c r="H52" s="12">
        <v>45385</v>
      </c>
      <c r="I52" s="12">
        <f>+F52-G52</f>
        <v>0</v>
      </c>
    </row>
    <row r="53" spans="1:11" ht="12" customHeight="1" x14ac:dyDescent="0.25">
      <c r="A53" s="9"/>
      <c r="B53" s="10"/>
      <c r="C53" s="11" t="s">
        <v>19</v>
      </c>
      <c r="D53" s="12">
        <v>10045.4</v>
      </c>
      <c r="E53" s="12">
        <v>0</v>
      </c>
      <c r="F53" s="12">
        <f>+D53+E53</f>
        <v>10045.4</v>
      </c>
      <c r="G53" s="12">
        <v>10045.4</v>
      </c>
      <c r="H53" s="12">
        <v>10045.4</v>
      </c>
      <c r="I53" s="12">
        <f>+F53-G53</f>
        <v>0</v>
      </c>
    </row>
    <row r="54" spans="1:11" ht="12" customHeight="1" x14ac:dyDescent="0.25">
      <c r="A54" s="9"/>
      <c r="B54" s="10"/>
      <c r="C54" s="11" t="s">
        <v>20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1:11" ht="12" customHeight="1" x14ac:dyDescent="0.25">
      <c r="A55" s="9"/>
      <c r="B55" s="10"/>
      <c r="C55" s="11" t="s">
        <v>21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1:11" ht="12" customHeight="1" x14ac:dyDescent="0.25">
      <c r="A56" s="9"/>
      <c r="B56" s="10"/>
      <c r="C56" s="11" t="s">
        <v>22</v>
      </c>
      <c r="D56" s="12">
        <f>4877045.8-38335-10045.4</f>
        <v>4828665.3999999994</v>
      </c>
      <c r="E56" s="12">
        <v>0</v>
      </c>
      <c r="F56" s="12">
        <f>+D56+E56</f>
        <v>4828665.3999999994</v>
      </c>
      <c r="G56" s="12">
        <v>2009694.1</v>
      </c>
      <c r="H56" s="12">
        <v>2009694.1</v>
      </c>
      <c r="I56" s="12">
        <f>+F56-G56</f>
        <v>2818971.2999999993</v>
      </c>
    </row>
    <row r="57" spans="1:11" ht="12" customHeight="1" x14ac:dyDescent="0.25">
      <c r="A57" s="9"/>
      <c r="B57" s="10"/>
      <c r="C57" s="11" t="s">
        <v>23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11" ht="8.1" customHeight="1" x14ac:dyDescent="0.25">
      <c r="A58" s="14"/>
      <c r="B58" s="15"/>
      <c r="C58" s="16"/>
      <c r="D58" s="8"/>
      <c r="E58" s="8"/>
      <c r="F58" s="13"/>
      <c r="G58" s="8"/>
      <c r="H58" s="8"/>
      <c r="I58" s="13"/>
    </row>
    <row r="59" spans="1:11" ht="12" customHeight="1" x14ac:dyDescent="0.25">
      <c r="A59" s="5"/>
      <c r="B59" s="6" t="s">
        <v>24</v>
      </c>
      <c r="C59" s="7"/>
      <c r="D59" s="8">
        <f>SUM(D60:D66)</f>
        <v>66789690.399999991</v>
      </c>
      <c r="E59" s="8">
        <f t="shared" ref="E59:I59" si="15">SUM(E60:E66)</f>
        <v>0</v>
      </c>
      <c r="F59" s="8">
        <f t="shared" si="15"/>
        <v>66789690.399999991</v>
      </c>
      <c r="G59" s="8">
        <f>SUM(G60:G66)</f>
        <v>45845437.399999991</v>
      </c>
      <c r="H59" s="8">
        <f>SUM(H60:H66)</f>
        <v>45845437.399999991</v>
      </c>
      <c r="I59" s="8">
        <f t="shared" si="15"/>
        <v>20944253</v>
      </c>
    </row>
    <row r="60" spans="1:11" ht="12" customHeight="1" x14ac:dyDescent="0.25">
      <c r="A60" s="9"/>
      <c r="B60" s="10"/>
      <c r="C60" s="11" t="s">
        <v>25</v>
      </c>
      <c r="D60" s="12">
        <v>191116.5</v>
      </c>
      <c r="E60" s="12">
        <v>0</v>
      </c>
      <c r="F60" s="12">
        <f t="shared" ref="F60:F65" si="16">+D60+E60</f>
        <v>191116.5</v>
      </c>
      <c r="G60" s="12">
        <v>66261.7</v>
      </c>
      <c r="H60" s="12">
        <v>66261.7</v>
      </c>
      <c r="I60" s="12">
        <f t="shared" ref="I60:I65" si="17">+F60-G60</f>
        <v>124854.8</v>
      </c>
    </row>
    <row r="61" spans="1:11" ht="12" customHeight="1" x14ac:dyDescent="0.25">
      <c r="A61" s="9"/>
      <c r="B61" s="10"/>
      <c r="C61" s="11" t="s">
        <v>26</v>
      </c>
      <c r="D61" s="12">
        <v>2401457.5</v>
      </c>
      <c r="E61" s="12">
        <v>0</v>
      </c>
      <c r="F61" s="13">
        <f t="shared" si="16"/>
        <v>2401457.5</v>
      </c>
      <c r="G61" s="12">
        <v>2401457.5</v>
      </c>
      <c r="H61" s="12">
        <v>2401457.5</v>
      </c>
      <c r="I61" s="13">
        <f t="shared" si="17"/>
        <v>0</v>
      </c>
    </row>
    <row r="62" spans="1:11" ht="12" customHeight="1" x14ac:dyDescent="0.25">
      <c r="A62" s="9"/>
      <c r="B62" s="10"/>
      <c r="C62" s="11" t="s">
        <v>27</v>
      </c>
      <c r="D62" s="12">
        <f>29755242.7-4000000-2000000</f>
        <v>23755242.699999999</v>
      </c>
      <c r="E62" s="12">
        <v>0</v>
      </c>
      <c r="F62" s="13">
        <f t="shared" si="16"/>
        <v>23755242.699999999</v>
      </c>
      <c r="G62" s="12">
        <v>14160613.800000001</v>
      </c>
      <c r="H62" s="12">
        <v>14160613.800000001</v>
      </c>
      <c r="I62" s="13">
        <f t="shared" si="17"/>
        <v>9594628.8999999985</v>
      </c>
    </row>
    <row r="63" spans="1:11" ht="12" customHeight="1" x14ac:dyDescent="0.25">
      <c r="A63" s="9"/>
      <c r="B63" s="10"/>
      <c r="C63" s="11" t="s">
        <v>28</v>
      </c>
      <c r="D63" s="12">
        <v>224055.4</v>
      </c>
      <c r="E63" s="12">
        <v>0</v>
      </c>
      <c r="F63" s="12">
        <f t="shared" si="16"/>
        <v>224055.4</v>
      </c>
      <c r="G63" s="12">
        <v>224055.4</v>
      </c>
      <c r="H63" s="12">
        <v>224055.4</v>
      </c>
      <c r="I63" s="12">
        <f t="shared" si="17"/>
        <v>0</v>
      </c>
    </row>
    <row r="64" spans="1:11" ht="12" customHeight="1" x14ac:dyDescent="0.25">
      <c r="A64" s="9"/>
      <c r="B64" s="10"/>
      <c r="C64" s="11" t="s">
        <v>29</v>
      </c>
      <c r="D64" s="12">
        <f>41489384.1+719995.3-191116.5-23205.5-571956.7-64217.4-3000-2020849.8</f>
        <v>39335033.5</v>
      </c>
      <c r="E64" s="12">
        <v>0</v>
      </c>
      <c r="F64" s="13">
        <f t="shared" si="16"/>
        <v>39335033.5</v>
      </c>
      <c r="G64" s="12">
        <v>28110264.199999999</v>
      </c>
      <c r="H64" s="12">
        <v>28110264.199999999</v>
      </c>
      <c r="I64" s="13">
        <f>+F64-G64</f>
        <v>11224769.300000001</v>
      </c>
    </row>
    <row r="65" spans="1:9" ht="12" customHeight="1" x14ac:dyDescent="0.25">
      <c r="A65" s="9"/>
      <c r="B65" s="10"/>
      <c r="C65" s="11" t="s">
        <v>30</v>
      </c>
      <c r="D65" s="12">
        <v>882784.8</v>
      </c>
      <c r="E65" s="12">
        <v>0</v>
      </c>
      <c r="F65" s="13">
        <f t="shared" si="16"/>
        <v>882784.8</v>
      </c>
      <c r="G65" s="12">
        <v>882784.8</v>
      </c>
      <c r="H65" s="12">
        <v>882784.8</v>
      </c>
      <c r="I65" s="13">
        <f t="shared" si="17"/>
        <v>0</v>
      </c>
    </row>
    <row r="66" spans="1:9" ht="12" customHeight="1" x14ac:dyDescent="0.25">
      <c r="A66" s="9"/>
      <c r="B66" s="10"/>
      <c r="C66" s="11" t="s">
        <v>31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</row>
    <row r="67" spans="1:9" ht="8.1" customHeight="1" x14ac:dyDescent="0.25">
      <c r="A67" s="14"/>
      <c r="B67" s="15"/>
      <c r="C67" s="16"/>
      <c r="D67" s="8"/>
      <c r="E67" s="8"/>
      <c r="F67" s="13"/>
      <c r="G67" s="8"/>
      <c r="H67" s="8"/>
      <c r="I67" s="13"/>
    </row>
    <row r="68" spans="1:9" ht="12" customHeight="1" x14ac:dyDescent="0.25">
      <c r="A68" s="5"/>
      <c r="B68" s="6" t="s">
        <v>32</v>
      </c>
      <c r="C68" s="7"/>
      <c r="D68" s="8">
        <f>SUM(D69:D77)</f>
        <v>365875.5</v>
      </c>
      <c r="E68" s="8">
        <f t="shared" ref="E68:I68" si="18">SUM(E69:E77)</f>
        <v>0</v>
      </c>
      <c r="F68" s="8">
        <f t="shared" si="18"/>
        <v>365875.5</v>
      </c>
      <c r="G68" s="8">
        <f t="shared" si="18"/>
        <v>365875.5</v>
      </c>
      <c r="H68" s="8">
        <f t="shared" si="18"/>
        <v>365875.5</v>
      </c>
      <c r="I68" s="8">
        <f t="shared" si="18"/>
        <v>0</v>
      </c>
    </row>
    <row r="69" spans="1:9" ht="12" customHeight="1" x14ac:dyDescent="0.25">
      <c r="A69" s="9"/>
      <c r="B69" s="10"/>
      <c r="C69" s="11" t="s">
        <v>33</v>
      </c>
      <c r="D69" s="12">
        <v>174697.8</v>
      </c>
      <c r="E69" s="12">
        <v>0</v>
      </c>
      <c r="F69" s="12">
        <f>+D69+E69</f>
        <v>174697.8</v>
      </c>
      <c r="G69" s="12">
        <v>174697.8</v>
      </c>
      <c r="H69" s="12">
        <v>174697.8</v>
      </c>
      <c r="I69" s="12">
        <f>+F69-G69</f>
        <v>0</v>
      </c>
    </row>
    <row r="70" spans="1:9" ht="12" customHeight="1" x14ac:dyDescent="0.25">
      <c r="A70" s="9"/>
      <c r="B70" s="10"/>
      <c r="C70" s="11" t="s">
        <v>34</v>
      </c>
      <c r="D70" s="12">
        <v>59740.800000000003</v>
      </c>
      <c r="E70" s="12">
        <v>0</v>
      </c>
      <c r="F70" s="12">
        <f>+D70</f>
        <v>59740.800000000003</v>
      </c>
      <c r="G70" s="12">
        <v>59740.800000000003</v>
      </c>
      <c r="H70" s="12">
        <v>59740.800000000003</v>
      </c>
      <c r="I70" s="12">
        <f>+F70-G70</f>
        <v>0</v>
      </c>
    </row>
    <row r="71" spans="1:9" ht="12" customHeight="1" x14ac:dyDescent="0.25">
      <c r="A71" s="9"/>
      <c r="B71" s="10"/>
      <c r="C71" s="11" t="s">
        <v>35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</row>
    <row r="72" spans="1:9" ht="12" customHeight="1" x14ac:dyDescent="0.25">
      <c r="A72" s="9"/>
      <c r="B72" s="10"/>
      <c r="C72" s="11" t="s">
        <v>36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</row>
    <row r="73" spans="1:9" ht="12" customHeight="1" x14ac:dyDescent="0.25">
      <c r="A73" s="9"/>
      <c r="B73" s="10"/>
      <c r="C73" s="11" t="s">
        <v>37</v>
      </c>
      <c r="D73" s="12">
        <v>128436.9</v>
      </c>
      <c r="E73" s="12">
        <v>0</v>
      </c>
      <c r="F73" s="12">
        <f>+D73</f>
        <v>128436.9</v>
      </c>
      <c r="G73" s="12">
        <v>128436.9</v>
      </c>
      <c r="H73" s="12">
        <v>128436.9</v>
      </c>
      <c r="I73" s="12">
        <v>0</v>
      </c>
    </row>
    <row r="74" spans="1:9" ht="12" customHeight="1" x14ac:dyDescent="0.25">
      <c r="A74" s="9"/>
      <c r="B74" s="10"/>
      <c r="C74" s="11" t="s">
        <v>38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</row>
    <row r="75" spans="1:9" ht="12" customHeight="1" x14ac:dyDescent="0.25">
      <c r="A75" s="9"/>
      <c r="B75" s="10"/>
      <c r="C75" s="11" t="s">
        <v>39</v>
      </c>
      <c r="D75" s="12">
        <v>3000</v>
      </c>
      <c r="E75" s="12">
        <v>0</v>
      </c>
      <c r="F75" s="12">
        <f>+D75+E75</f>
        <v>3000</v>
      </c>
      <c r="G75" s="12">
        <v>3000</v>
      </c>
      <c r="H75" s="12">
        <v>3000</v>
      </c>
      <c r="I75" s="12">
        <f>+F75-G75</f>
        <v>0</v>
      </c>
    </row>
    <row r="76" spans="1:9" ht="12" customHeight="1" x14ac:dyDescent="0.25">
      <c r="A76" s="9"/>
      <c r="B76" s="10"/>
      <c r="C76" s="11" t="s">
        <v>40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</row>
    <row r="77" spans="1:9" ht="12" customHeight="1" x14ac:dyDescent="0.25">
      <c r="A77" s="9"/>
      <c r="B77" s="10"/>
      <c r="C77" s="11" t="s">
        <v>41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</row>
    <row r="78" spans="1:9" ht="8.1" customHeight="1" x14ac:dyDescent="0.25">
      <c r="A78" s="14"/>
      <c r="B78" s="15"/>
      <c r="C78" s="16"/>
      <c r="D78" s="8"/>
      <c r="E78" s="8"/>
      <c r="F78" s="13"/>
      <c r="G78" s="8"/>
      <c r="H78" s="8"/>
      <c r="I78" s="13"/>
    </row>
    <row r="79" spans="1:9" ht="14.1" customHeight="1" x14ac:dyDescent="0.25">
      <c r="A79" s="5"/>
      <c r="B79" s="6" t="s">
        <v>42</v>
      </c>
      <c r="C79" s="7"/>
      <c r="D79" s="8">
        <f>SUM(D80:D83)</f>
        <v>18935977.399999999</v>
      </c>
      <c r="E79" s="8">
        <f t="shared" ref="E79:I79" si="19">SUM(E80:E83)</f>
        <v>0</v>
      </c>
      <c r="F79" s="8">
        <f t="shared" si="19"/>
        <v>18935977.399999999</v>
      </c>
      <c r="G79" s="8">
        <f t="shared" si="19"/>
        <v>13855140.199999999</v>
      </c>
      <c r="H79" s="8">
        <f t="shared" si="19"/>
        <v>13855140.199999999</v>
      </c>
      <c r="I79" s="8">
        <f t="shared" si="19"/>
        <v>5080837.2</v>
      </c>
    </row>
    <row r="80" spans="1:9" ht="14.1" customHeight="1" x14ac:dyDescent="0.25">
      <c r="A80" s="9"/>
      <c r="B80" s="10"/>
      <c r="C80" s="11" t="s">
        <v>43</v>
      </c>
      <c r="D80" s="12">
        <v>5445309.5999999996</v>
      </c>
      <c r="E80" s="12">
        <v>0</v>
      </c>
      <c r="F80" s="12">
        <f>+D80-E80</f>
        <v>5445309.5999999996</v>
      </c>
      <c r="G80" s="12">
        <v>3145515.2</v>
      </c>
      <c r="H80" s="12">
        <v>3145515.2</v>
      </c>
      <c r="I80" s="12">
        <f>+F80-G80</f>
        <v>2299794.3999999994</v>
      </c>
    </row>
    <row r="81" spans="1:9" ht="14.1" customHeight="1" x14ac:dyDescent="0.25">
      <c r="A81" s="9"/>
      <c r="B81" s="10"/>
      <c r="C81" s="11" t="s">
        <v>44</v>
      </c>
      <c r="D81" s="12">
        <v>13490667.800000001</v>
      </c>
      <c r="E81" s="12">
        <v>0</v>
      </c>
      <c r="F81" s="12">
        <f>+D81+E81</f>
        <v>13490667.800000001</v>
      </c>
      <c r="G81" s="12">
        <v>10709625</v>
      </c>
      <c r="H81" s="12">
        <v>10709625</v>
      </c>
      <c r="I81" s="12">
        <f>+F81-G81</f>
        <v>2781042.8000000007</v>
      </c>
    </row>
    <row r="82" spans="1:9" ht="14.1" customHeight="1" x14ac:dyDescent="0.25">
      <c r="A82" s="9"/>
      <c r="B82" s="10"/>
      <c r="C82" s="11" t="s">
        <v>45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</row>
    <row r="83" spans="1:9" ht="14.1" customHeight="1" x14ac:dyDescent="0.25">
      <c r="A83" s="9"/>
      <c r="B83" s="10"/>
      <c r="C83" s="11" t="s">
        <v>46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</row>
    <row r="84" spans="1:9" ht="8.1" customHeight="1" x14ac:dyDescent="0.25">
      <c r="A84" s="14"/>
      <c r="B84" s="15"/>
      <c r="C84" s="16"/>
      <c r="D84" s="8"/>
      <c r="E84" s="8"/>
      <c r="F84" s="13"/>
      <c r="G84" s="8"/>
      <c r="H84" s="8"/>
      <c r="I84" s="13"/>
    </row>
    <row r="85" spans="1:9" x14ac:dyDescent="0.25">
      <c r="A85" s="28" t="s">
        <v>48</v>
      </c>
      <c r="B85" s="29"/>
      <c r="C85" s="30"/>
      <c r="D85" s="8">
        <f>+D11+D48</f>
        <v>227455309.63899997</v>
      </c>
      <c r="E85" s="8">
        <f t="shared" ref="E85:I85" si="20">+E11+E48</f>
        <v>571970.59754000057</v>
      </c>
      <c r="F85" s="8">
        <f t="shared" si="20"/>
        <v>228027280.23653999</v>
      </c>
      <c r="G85" s="8">
        <f>+G11+G48</f>
        <v>176018996.28999999</v>
      </c>
      <c r="H85" s="8">
        <f t="shared" si="20"/>
        <v>175513013.69999999</v>
      </c>
      <c r="I85" s="8">
        <f t="shared" si="20"/>
        <v>52008283.946539998</v>
      </c>
    </row>
    <row r="86" spans="1:9" ht="8.1" customHeight="1" x14ac:dyDescent="0.25">
      <c r="A86" s="18"/>
      <c r="B86" s="19"/>
      <c r="C86" s="20"/>
      <c r="D86" s="21"/>
      <c r="E86" s="21"/>
      <c r="F86" s="21"/>
      <c r="G86" s="21"/>
      <c r="H86" s="21"/>
      <c r="I86" s="22"/>
    </row>
    <row r="89" spans="1:9" x14ac:dyDescent="0.25">
      <c r="D89" s="23"/>
      <c r="E89" s="24"/>
      <c r="F89" s="23"/>
      <c r="G89" s="25"/>
      <c r="H89" s="25"/>
      <c r="I89" s="25"/>
    </row>
    <row r="90" spans="1:9" x14ac:dyDescent="0.25">
      <c r="H90" s="17"/>
    </row>
    <row r="91" spans="1:9" x14ac:dyDescent="0.25">
      <c r="D91" s="17"/>
      <c r="F91" s="17"/>
    </row>
  </sheetData>
  <mergeCells count="14">
    <mergeCell ref="A1:I1"/>
    <mergeCell ref="A2:I2"/>
    <mergeCell ref="A48:C48"/>
    <mergeCell ref="A85:C85"/>
    <mergeCell ref="A10:C10"/>
    <mergeCell ref="A11:C11"/>
    <mergeCell ref="A3:I3"/>
    <mergeCell ref="A4:I4"/>
    <mergeCell ref="A5:I5"/>
    <mergeCell ref="A6:I6"/>
    <mergeCell ref="A7:I7"/>
    <mergeCell ref="A8:C9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revision/>
  <cp:lastPrinted>2018-01-17T15:39:57Z</cp:lastPrinted>
  <dcterms:created xsi:type="dcterms:W3CDTF">2017-05-09T18:58:00Z</dcterms:created>
  <dcterms:modified xsi:type="dcterms:W3CDTF">2018-01-17T15:39:59Z</dcterms:modified>
</cp:coreProperties>
</file>