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435"/>
  </bookViews>
  <sheets>
    <sheet name="FORMATO 6a ok DEF" sheetId="1" r:id="rId1"/>
  </sheets>
  <definedNames>
    <definedName name="_xlnm.Print_Titles" localSheetId="0">'FORMATO 6a ok DEF'!$3:$9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0" i="1" l="1"/>
  <c r="F160" i="1"/>
  <c r="F159" i="1"/>
  <c r="I159" i="1" s="1"/>
  <c r="F158" i="1"/>
  <c r="I158" i="1" s="1"/>
  <c r="F157" i="1"/>
  <c r="I157" i="1" s="1"/>
  <c r="I156" i="1"/>
  <c r="F156" i="1"/>
  <c r="F153" i="1" s="1"/>
  <c r="I153" i="1" s="1"/>
  <c r="H155" i="1"/>
  <c r="F155" i="1"/>
  <c r="I155" i="1" s="1"/>
  <c r="F154" i="1"/>
  <c r="I154" i="1" s="1"/>
  <c r="H153" i="1"/>
  <c r="G153" i="1"/>
  <c r="E153" i="1"/>
  <c r="D153" i="1"/>
  <c r="F152" i="1"/>
  <c r="I152" i="1" s="1"/>
  <c r="F151" i="1"/>
  <c r="F149" i="1" s="1"/>
  <c r="I149" i="1" s="1"/>
  <c r="I150" i="1"/>
  <c r="F150" i="1"/>
  <c r="H149" i="1"/>
  <c r="G149" i="1"/>
  <c r="E149" i="1"/>
  <c r="D149" i="1"/>
  <c r="F148" i="1"/>
  <c r="I148" i="1" s="1"/>
  <c r="I147" i="1"/>
  <c r="F147" i="1"/>
  <c r="F146" i="1"/>
  <c r="I146" i="1" s="1"/>
  <c r="F145" i="1"/>
  <c r="I145" i="1" s="1"/>
  <c r="I144" i="1"/>
  <c r="F144" i="1"/>
  <c r="F143" i="1"/>
  <c r="I143" i="1" s="1"/>
  <c r="F142" i="1"/>
  <c r="I142" i="1" s="1"/>
  <c r="F141" i="1"/>
  <c r="I141" i="1" s="1"/>
  <c r="H140" i="1"/>
  <c r="G140" i="1"/>
  <c r="E140" i="1"/>
  <c r="D140" i="1"/>
  <c r="F139" i="1"/>
  <c r="F136" i="1" s="1"/>
  <c r="I136" i="1" s="1"/>
  <c r="I138" i="1"/>
  <c r="H138" i="1"/>
  <c r="F138" i="1"/>
  <c r="H137" i="1"/>
  <c r="F137" i="1"/>
  <c r="I137" i="1" s="1"/>
  <c r="H136" i="1"/>
  <c r="G136" i="1"/>
  <c r="E136" i="1"/>
  <c r="D136" i="1"/>
  <c r="F135" i="1"/>
  <c r="I135" i="1" s="1"/>
  <c r="F134" i="1"/>
  <c r="I134" i="1" s="1"/>
  <c r="I133" i="1"/>
  <c r="F133" i="1"/>
  <c r="F132" i="1"/>
  <c r="I132" i="1" s="1"/>
  <c r="F131" i="1"/>
  <c r="I131" i="1" s="1"/>
  <c r="F130" i="1"/>
  <c r="I130" i="1" s="1"/>
  <c r="F129" i="1"/>
  <c r="I129" i="1" s="1"/>
  <c r="I128" i="1"/>
  <c r="F128" i="1"/>
  <c r="F127" i="1"/>
  <c r="I127" i="1" s="1"/>
  <c r="H126" i="1"/>
  <c r="G126" i="1"/>
  <c r="E126" i="1"/>
  <c r="D126" i="1"/>
  <c r="F126" i="1" s="1"/>
  <c r="I126" i="1" s="1"/>
  <c r="F125" i="1"/>
  <c r="I125" i="1" s="1"/>
  <c r="F124" i="1"/>
  <c r="I124" i="1" s="1"/>
  <c r="F123" i="1"/>
  <c r="I123" i="1" s="1"/>
  <c r="I122" i="1"/>
  <c r="F122" i="1"/>
  <c r="H121" i="1"/>
  <c r="H44" i="1" s="1"/>
  <c r="F121" i="1"/>
  <c r="F116" i="1" s="1"/>
  <c r="I120" i="1"/>
  <c r="H120" i="1"/>
  <c r="H43" i="1" s="1"/>
  <c r="F120" i="1"/>
  <c r="H119" i="1"/>
  <c r="F119" i="1"/>
  <c r="I119" i="1" s="1"/>
  <c r="H118" i="1"/>
  <c r="F118" i="1"/>
  <c r="I118" i="1" s="1"/>
  <c r="H117" i="1"/>
  <c r="F117" i="1"/>
  <c r="I117" i="1" s="1"/>
  <c r="G116" i="1"/>
  <c r="E116" i="1"/>
  <c r="E87" i="1" s="1"/>
  <c r="D116" i="1"/>
  <c r="F115" i="1"/>
  <c r="I115" i="1" s="1"/>
  <c r="H114" i="1"/>
  <c r="F114" i="1"/>
  <c r="I114" i="1" s="1"/>
  <c r="H113" i="1"/>
  <c r="F113" i="1"/>
  <c r="I113" i="1" s="1"/>
  <c r="H112" i="1"/>
  <c r="F112" i="1"/>
  <c r="I112" i="1" s="1"/>
  <c r="F111" i="1"/>
  <c r="I111" i="1" s="1"/>
  <c r="I110" i="1"/>
  <c r="H110" i="1"/>
  <c r="H33" i="1" s="1"/>
  <c r="F110" i="1"/>
  <c r="F109" i="1"/>
  <c r="I109" i="1" s="1"/>
  <c r="F108" i="1"/>
  <c r="I108" i="1" s="1"/>
  <c r="F107" i="1"/>
  <c r="I107" i="1" s="1"/>
  <c r="I106" i="1" s="1"/>
  <c r="G106" i="1"/>
  <c r="F106" i="1"/>
  <c r="E106" i="1"/>
  <c r="D106" i="1"/>
  <c r="H105" i="1"/>
  <c r="H28" i="1" s="1"/>
  <c r="F105" i="1"/>
  <c r="I105" i="1" s="1"/>
  <c r="I104" i="1"/>
  <c r="H104" i="1"/>
  <c r="F104" i="1"/>
  <c r="H103" i="1"/>
  <c r="F103" i="1"/>
  <c r="I103" i="1" s="1"/>
  <c r="I102" i="1"/>
  <c r="H102" i="1"/>
  <c r="F102" i="1"/>
  <c r="H101" i="1"/>
  <c r="H24" i="1" s="1"/>
  <c r="H19" i="1" s="1"/>
  <c r="F101" i="1"/>
  <c r="I101" i="1" s="1"/>
  <c r="H100" i="1"/>
  <c r="F100" i="1"/>
  <c r="F96" i="1" s="1"/>
  <c r="I99" i="1"/>
  <c r="H99" i="1"/>
  <c r="H96" i="1" s="1"/>
  <c r="F99" i="1"/>
  <c r="H98" i="1"/>
  <c r="F98" i="1"/>
  <c r="I98" i="1" s="1"/>
  <c r="H97" i="1"/>
  <c r="F97" i="1"/>
  <c r="I97" i="1" s="1"/>
  <c r="G96" i="1"/>
  <c r="G87" i="1" s="1"/>
  <c r="E96" i="1"/>
  <c r="D96" i="1"/>
  <c r="I95" i="1"/>
  <c r="H95" i="1"/>
  <c r="H18" i="1" s="1"/>
  <c r="F95" i="1"/>
  <c r="F94" i="1"/>
  <c r="I94" i="1" s="1"/>
  <c r="H93" i="1"/>
  <c r="F93" i="1"/>
  <c r="I93" i="1" s="1"/>
  <c r="I92" i="1"/>
  <c r="H92" i="1"/>
  <c r="F92" i="1"/>
  <c r="H91" i="1"/>
  <c r="F91" i="1"/>
  <c r="I91" i="1" s="1"/>
  <c r="H90" i="1"/>
  <c r="H88" i="1" s="1"/>
  <c r="F90" i="1"/>
  <c r="I90" i="1" s="1"/>
  <c r="I89" i="1"/>
  <c r="F89" i="1"/>
  <c r="F88" i="1" s="1"/>
  <c r="D89" i="1"/>
  <c r="G88" i="1"/>
  <c r="E88" i="1"/>
  <c r="D88" i="1"/>
  <c r="D87" i="1"/>
  <c r="I83" i="1"/>
  <c r="H83" i="1"/>
  <c r="G83" i="1"/>
  <c r="F83" i="1"/>
  <c r="H82" i="1"/>
  <c r="G82" i="1"/>
  <c r="D82" i="1"/>
  <c r="F82" i="1" s="1"/>
  <c r="I82" i="1" s="1"/>
  <c r="H81" i="1"/>
  <c r="G81" i="1"/>
  <c r="F81" i="1"/>
  <c r="I81" i="1" s="1"/>
  <c r="D81" i="1"/>
  <c r="H80" i="1"/>
  <c r="G80" i="1"/>
  <c r="F80" i="1"/>
  <c r="I80" i="1" s="1"/>
  <c r="D80" i="1"/>
  <c r="H79" i="1"/>
  <c r="G79" i="1"/>
  <c r="F79" i="1"/>
  <c r="I79" i="1" s="1"/>
  <c r="D79" i="1"/>
  <c r="H78" i="1"/>
  <c r="G78" i="1"/>
  <c r="D78" i="1"/>
  <c r="F78" i="1" s="1"/>
  <c r="I78" i="1" s="1"/>
  <c r="H77" i="1"/>
  <c r="H76" i="1" s="1"/>
  <c r="G77" i="1"/>
  <c r="G76" i="1" s="1"/>
  <c r="D77" i="1"/>
  <c r="D76" i="1" s="1"/>
  <c r="E76" i="1"/>
  <c r="H75" i="1"/>
  <c r="G75" i="1"/>
  <c r="D75" i="1"/>
  <c r="F75" i="1" s="1"/>
  <c r="I75" i="1" s="1"/>
  <c r="H74" i="1"/>
  <c r="H72" i="1" s="1"/>
  <c r="G74" i="1"/>
  <c r="G72" i="1" s="1"/>
  <c r="D74" i="1"/>
  <c r="F74" i="1" s="1"/>
  <c r="I74" i="1" s="1"/>
  <c r="H73" i="1"/>
  <c r="G73" i="1"/>
  <c r="D73" i="1"/>
  <c r="F73" i="1" s="1"/>
  <c r="E72" i="1"/>
  <c r="H71" i="1"/>
  <c r="G71" i="1"/>
  <c r="D71" i="1"/>
  <c r="F71" i="1" s="1"/>
  <c r="I71" i="1" s="1"/>
  <c r="H70" i="1"/>
  <c r="G70" i="1"/>
  <c r="D70" i="1"/>
  <c r="F70" i="1" s="1"/>
  <c r="I70" i="1" s="1"/>
  <c r="H69" i="1"/>
  <c r="G69" i="1"/>
  <c r="D69" i="1"/>
  <c r="F69" i="1" s="1"/>
  <c r="I69" i="1" s="1"/>
  <c r="H68" i="1"/>
  <c r="G68" i="1"/>
  <c r="D68" i="1"/>
  <c r="F68" i="1" s="1"/>
  <c r="I68" i="1" s="1"/>
  <c r="H67" i="1"/>
  <c r="G67" i="1"/>
  <c r="D67" i="1"/>
  <c r="F67" i="1" s="1"/>
  <c r="I67" i="1" s="1"/>
  <c r="H66" i="1"/>
  <c r="G66" i="1"/>
  <c r="F66" i="1"/>
  <c r="I66" i="1" s="1"/>
  <c r="D66" i="1"/>
  <c r="H65" i="1"/>
  <c r="G65" i="1"/>
  <c r="D65" i="1"/>
  <c r="D63" i="1" s="1"/>
  <c r="I64" i="1"/>
  <c r="H64" i="1"/>
  <c r="H63" i="1" s="1"/>
  <c r="G64" i="1"/>
  <c r="G63" i="1" s="1"/>
  <c r="F64" i="1"/>
  <c r="D64" i="1"/>
  <c r="E63" i="1"/>
  <c r="H62" i="1"/>
  <c r="G62" i="1"/>
  <c r="D62" i="1"/>
  <c r="D59" i="1" s="1"/>
  <c r="I61" i="1"/>
  <c r="H61" i="1"/>
  <c r="H59" i="1" s="1"/>
  <c r="G61" i="1"/>
  <c r="G59" i="1" s="1"/>
  <c r="F61" i="1"/>
  <c r="D61" i="1"/>
  <c r="F60" i="1"/>
  <c r="I60" i="1" s="1"/>
  <c r="D60" i="1"/>
  <c r="E59" i="1"/>
  <c r="H58" i="1"/>
  <c r="G58" i="1"/>
  <c r="F58" i="1"/>
  <c r="I58" i="1" s="1"/>
  <c r="D58" i="1"/>
  <c r="H57" i="1"/>
  <c r="G57" i="1"/>
  <c r="F57" i="1"/>
  <c r="I57" i="1" s="1"/>
  <c r="D57" i="1"/>
  <c r="H56" i="1"/>
  <c r="G56" i="1"/>
  <c r="D56" i="1"/>
  <c r="F56" i="1" s="1"/>
  <c r="I56" i="1" s="1"/>
  <c r="H55" i="1"/>
  <c r="G55" i="1"/>
  <c r="G49" i="1" s="1"/>
  <c r="D55" i="1"/>
  <c r="F55" i="1" s="1"/>
  <c r="I55" i="1" s="1"/>
  <c r="I54" i="1"/>
  <c r="H54" i="1"/>
  <c r="G54" i="1"/>
  <c r="F54" i="1"/>
  <c r="D54" i="1"/>
  <c r="H53" i="1"/>
  <c r="G53" i="1"/>
  <c r="D53" i="1"/>
  <c r="F53" i="1" s="1"/>
  <c r="I53" i="1" s="1"/>
  <c r="H52" i="1"/>
  <c r="G52" i="1"/>
  <c r="D52" i="1"/>
  <c r="D49" i="1" s="1"/>
  <c r="H51" i="1"/>
  <c r="H49" i="1" s="1"/>
  <c r="G51" i="1"/>
  <c r="D51" i="1"/>
  <c r="F51" i="1" s="1"/>
  <c r="H50" i="1"/>
  <c r="G50" i="1"/>
  <c r="F50" i="1"/>
  <c r="I50" i="1" s="1"/>
  <c r="D50" i="1"/>
  <c r="E49" i="1"/>
  <c r="H48" i="1"/>
  <c r="G48" i="1"/>
  <c r="D48" i="1"/>
  <c r="F48" i="1" s="1"/>
  <c r="I48" i="1" s="1"/>
  <c r="H47" i="1"/>
  <c r="G47" i="1"/>
  <c r="F47" i="1"/>
  <c r="I47" i="1" s="1"/>
  <c r="D47" i="1"/>
  <c r="H46" i="1"/>
  <c r="G46" i="1"/>
  <c r="D46" i="1"/>
  <c r="F46" i="1" s="1"/>
  <c r="I46" i="1" s="1"/>
  <c r="F45" i="1"/>
  <c r="I45" i="1" s="1"/>
  <c r="D45" i="1"/>
  <c r="G44" i="1"/>
  <c r="D44" i="1"/>
  <c r="F44" i="1" s="1"/>
  <c r="I44" i="1" s="1"/>
  <c r="G43" i="1"/>
  <c r="D43" i="1"/>
  <c r="F43" i="1" s="1"/>
  <c r="I43" i="1" s="1"/>
  <c r="H42" i="1"/>
  <c r="H39" i="1" s="1"/>
  <c r="G42" i="1"/>
  <c r="G39" i="1" s="1"/>
  <c r="D42" i="1"/>
  <c r="D39" i="1" s="1"/>
  <c r="I41" i="1"/>
  <c r="H41" i="1"/>
  <c r="G41" i="1"/>
  <c r="F41" i="1"/>
  <c r="D41" i="1"/>
  <c r="H40" i="1"/>
  <c r="G40" i="1"/>
  <c r="D40" i="1"/>
  <c r="F40" i="1" s="1"/>
  <c r="E39" i="1"/>
  <c r="E10" i="1" s="1"/>
  <c r="I38" i="1"/>
  <c r="H38" i="1"/>
  <c r="G38" i="1"/>
  <c r="F38" i="1"/>
  <c r="D38" i="1"/>
  <c r="H37" i="1"/>
  <c r="G37" i="1"/>
  <c r="D37" i="1"/>
  <c r="F37" i="1" s="1"/>
  <c r="I37" i="1" s="1"/>
  <c r="H36" i="1"/>
  <c r="G36" i="1"/>
  <c r="D36" i="1"/>
  <c r="F36" i="1" s="1"/>
  <c r="I36" i="1" s="1"/>
  <c r="H35" i="1"/>
  <c r="G35" i="1"/>
  <c r="D35" i="1"/>
  <c r="F35" i="1" s="1"/>
  <c r="I35" i="1" s="1"/>
  <c r="H34" i="1"/>
  <c r="G34" i="1"/>
  <c r="F34" i="1"/>
  <c r="I34" i="1" s="1"/>
  <c r="D34" i="1"/>
  <c r="G33" i="1"/>
  <c r="D33" i="1"/>
  <c r="F33" i="1" s="1"/>
  <c r="I33" i="1" s="1"/>
  <c r="I32" i="1"/>
  <c r="H32" i="1"/>
  <c r="H29" i="1" s="1"/>
  <c r="G32" i="1"/>
  <c r="F32" i="1"/>
  <c r="D32" i="1"/>
  <c r="H31" i="1"/>
  <c r="G31" i="1"/>
  <c r="D31" i="1"/>
  <c r="F31" i="1" s="1"/>
  <c r="I31" i="1" s="1"/>
  <c r="H30" i="1"/>
  <c r="G30" i="1"/>
  <c r="D30" i="1"/>
  <c r="D29" i="1" s="1"/>
  <c r="G29" i="1"/>
  <c r="E29" i="1"/>
  <c r="G28" i="1"/>
  <c r="D28" i="1"/>
  <c r="F28" i="1" s="1"/>
  <c r="I28" i="1" s="1"/>
  <c r="H27" i="1"/>
  <c r="G27" i="1"/>
  <c r="D27" i="1"/>
  <c r="F27" i="1" s="1"/>
  <c r="I27" i="1" s="1"/>
  <c r="H26" i="1"/>
  <c r="G26" i="1"/>
  <c r="F26" i="1"/>
  <c r="I26" i="1" s="1"/>
  <c r="D26" i="1"/>
  <c r="H25" i="1"/>
  <c r="G25" i="1"/>
  <c r="D25" i="1"/>
  <c r="F25" i="1" s="1"/>
  <c r="I25" i="1" s="1"/>
  <c r="G24" i="1"/>
  <c r="D24" i="1"/>
  <c r="F24" i="1" s="1"/>
  <c r="I24" i="1" s="1"/>
  <c r="H23" i="1"/>
  <c r="G23" i="1"/>
  <c r="F23" i="1"/>
  <c r="I23" i="1" s="1"/>
  <c r="D23" i="1"/>
  <c r="G22" i="1"/>
  <c r="D22" i="1"/>
  <c r="F22" i="1" s="1"/>
  <c r="I22" i="1" s="1"/>
  <c r="H21" i="1"/>
  <c r="G21" i="1"/>
  <c r="D21" i="1"/>
  <c r="F21" i="1" s="1"/>
  <c r="I21" i="1" s="1"/>
  <c r="H20" i="1"/>
  <c r="G20" i="1"/>
  <c r="G19" i="1" s="1"/>
  <c r="D20" i="1"/>
  <c r="D19" i="1" s="1"/>
  <c r="E19" i="1"/>
  <c r="G18" i="1"/>
  <c r="D18" i="1"/>
  <c r="F18" i="1" s="1"/>
  <c r="I18" i="1" s="1"/>
  <c r="H17" i="1"/>
  <c r="G17" i="1"/>
  <c r="D17" i="1"/>
  <c r="F17" i="1" s="1"/>
  <c r="I17" i="1" s="1"/>
  <c r="H16" i="1"/>
  <c r="G16" i="1"/>
  <c r="D16" i="1"/>
  <c r="F16" i="1" s="1"/>
  <c r="I16" i="1" s="1"/>
  <c r="H15" i="1"/>
  <c r="G15" i="1"/>
  <c r="F15" i="1"/>
  <c r="I15" i="1" s="1"/>
  <c r="D15" i="1"/>
  <c r="H14" i="1"/>
  <c r="G14" i="1"/>
  <c r="D14" i="1"/>
  <c r="F14" i="1" s="1"/>
  <c r="I14" i="1" s="1"/>
  <c r="H13" i="1"/>
  <c r="G13" i="1"/>
  <c r="G11" i="1" s="1"/>
  <c r="D13" i="1"/>
  <c r="F13" i="1" s="1"/>
  <c r="I13" i="1" s="1"/>
  <c r="D12" i="1"/>
  <c r="F12" i="1" s="1"/>
  <c r="E11" i="1"/>
  <c r="I88" i="1" l="1"/>
  <c r="E162" i="1"/>
  <c r="F49" i="1"/>
  <c r="I49" i="1" s="1"/>
  <c r="I51" i="1"/>
  <c r="I12" i="1"/>
  <c r="F11" i="1"/>
  <c r="I40" i="1"/>
  <c r="I39" i="1" s="1"/>
  <c r="F39" i="1"/>
  <c r="G10" i="1"/>
  <c r="G162" i="1" s="1"/>
  <c r="H11" i="1"/>
  <c r="H10" i="1" s="1"/>
  <c r="F72" i="1"/>
  <c r="I73" i="1"/>
  <c r="I72" i="1" s="1"/>
  <c r="F42" i="1"/>
  <c r="I42" i="1" s="1"/>
  <c r="F52" i="1"/>
  <c r="I52" i="1" s="1"/>
  <c r="F77" i="1"/>
  <c r="F62" i="1"/>
  <c r="F65" i="1"/>
  <c r="I100" i="1"/>
  <c r="I96" i="1" s="1"/>
  <c r="H116" i="1"/>
  <c r="I121" i="1"/>
  <c r="I116" i="1" s="1"/>
  <c r="I139" i="1"/>
  <c r="F20" i="1"/>
  <c r="F140" i="1"/>
  <c r="I140" i="1" s="1"/>
  <c r="D11" i="1"/>
  <c r="D10" i="1" s="1"/>
  <c r="D162" i="1" s="1"/>
  <c r="H106" i="1"/>
  <c r="H87" i="1" s="1"/>
  <c r="I151" i="1"/>
  <c r="F30" i="1"/>
  <c r="D72" i="1"/>
  <c r="H162" i="1" l="1"/>
  <c r="I11" i="1"/>
  <c r="F19" i="1"/>
  <c r="F10" i="1" s="1"/>
  <c r="F162" i="1" s="1"/>
  <c r="I20" i="1"/>
  <c r="I19" i="1" s="1"/>
  <c r="F63" i="1"/>
  <c r="I65" i="1"/>
  <c r="I63" i="1" s="1"/>
  <c r="I87" i="1"/>
  <c r="F59" i="1"/>
  <c r="I62" i="1"/>
  <c r="I59" i="1" s="1"/>
  <c r="F76" i="1"/>
  <c r="I77" i="1"/>
  <c r="I76" i="1" s="1"/>
  <c r="I30" i="1"/>
  <c r="I29" i="1" s="1"/>
  <c r="F29" i="1"/>
  <c r="F87" i="1"/>
  <c r="I10" i="1" l="1"/>
  <c r="I162" i="1" s="1"/>
</calcChain>
</file>

<file path=xl/sharedStrings.xml><?xml version="1.0" encoding="utf-8"?>
<sst xmlns="http://schemas.openxmlformats.org/spreadsheetml/2006/main" count="164" uniqueCount="91">
  <si>
    <t>Formato 6 a) Estado Analítico del Ejercicio del Presupuesto de Egresos Detallado - LDF</t>
  </si>
  <si>
    <t>(Clasificación por Objeto del Gasto)</t>
  </si>
  <si>
    <t>Sector Central del Poder Ejecutivo del Estado Libre y Soberano de México</t>
  </si>
  <si>
    <t>Estado Analítico del Ejercicio del Presupuesto de Egresos Detallado - LDF</t>
  </si>
  <si>
    <t xml:space="preserve">Clasificación por Objeto del Gasto (Capítulo y Concepto) </t>
  </si>
  <si>
    <t>Del 1 de enero al 31 de marzo de 2022 (b)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</si>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</sst>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#,##0.000000000"/>
    <numFmt numFmtId="166" formatCode="#,##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sz val="6.5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164" fontId="3" fillId="2" borderId="9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164" fontId="3" fillId="0" borderId="12" xfId="1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164" fontId="5" fillId="0" borderId="0" xfId="0" applyNumberFormat="1" applyFont="1"/>
    <xf numFmtId="0" fontId="5" fillId="0" borderId="0" xfId="0" applyFont="1"/>
    <xf numFmtId="164" fontId="3" fillId="0" borderId="10" xfId="0" applyNumberFormat="1" applyFont="1" applyFill="1" applyBorder="1"/>
    <xf numFmtId="164" fontId="3" fillId="0" borderId="11" xfId="0" applyNumberFormat="1" applyFont="1" applyFill="1" applyBorder="1"/>
    <xf numFmtId="43" fontId="5" fillId="0" borderId="0" xfId="1" applyFont="1"/>
    <xf numFmtId="164" fontId="4" fillId="0" borderId="0" xfId="0" applyNumberFormat="1" applyFont="1" applyFill="1"/>
    <xf numFmtId="164" fontId="4" fillId="0" borderId="11" xfId="0" applyNumberFormat="1" applyFont="1" applyFill="1" applyBorder="1"/>
    <xf numFmtId="0" fontId="5" fillId="0" borderId="0" xfId="0" applyFont="1" applyFill="1"/>
    <xf numFmtId="43" fontId="2" fillId="0" borderId="0" xfId="1" applyFont="1"/>
    <xf numFmtId="164" fontId="4" fillId="0" borderId="12" xfId="0" applyNumberFormat="1" applyFont="1" applyFill="1" applyBorder="1"/>
    <xf numFmtId="164" fontId="4" fillId="0" borderId="10" xfId="0" applyNumberFormat="1" applyFont="1" applyFill="1" applyBorder="1"/>
    <xf numFmtId="165" fontId="5" fillId="0" borderId="0" xfId="0" applyNumberFormat="1" applyFont="1"/>
    <xf numFmtId="166" fontId="5" fillId="0" borderId="0" xfId="0" applyNumberFormat="1" applyFont="1"/>
    <xf numFmtId="164" fontId="5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P179"/>
  <sheetViews>
    <sheetView showGridLines="0" tabSelected="1" zoomScaleNormal="100" zoomScaleSheetLayoutView="100" workbookViewId="0">
      <pane ySplit="9" topLeftCell="A10" activePane="bottomLeft" state="frozen"/>
      <selection pane="bottomLeft" activeCell="A10" sqref="A10"/>
    </sheetView>
  </sheetViews>
  <sheetFormatPr baseColWidth="10" defaultColWidth="11.42578125" defaultRowHeight="14.25" x14ac:dyDescent="0.2"/>
  <cols>
    <col min="1" max="1" width="2" style="29" customWidth="1"/>
    <col min="2" max="2" width="3.140625" style="29" customWidth="1"/>
    <col min="3" max="3" width="38" style="29" customWidth="1"/>
    <col min="4" max="4" width="21.42578125" style="28" customWidth="1"/>
    <col min="5" max="5" width="17.28515625" style="28" customWidth="1"/>
    <col min="6" max="6" width="16.5703125" style="28" customWidth="1"/>
    <col min="7" max="7" width="17.42578125" style="28" customWidth="1"/>
    <col min="8" max="8" width="19.140625" style="28" customWidth="1"/>
    <col min="9" max="9" width="16.28515625" style="28" customWidth="1"/>
    <col min="10" max="10" width="12.5703125" style="28" bestFit="1" customWidth="1"/>
    <col min="11" max="11" width="18" style="29" bestFit="1" customWidth="1"/>
    <col min="12" max="12" width="17.140625" style="29" customWidth="1"/>
    <col min="13" max="14" width="14.140625" style="29" bestFit="1" customWidth="1"/>
    <col min="15" max="16384" width="11.42578125" style="29"/>
  </cols>
  <sheetData>
    <row r="1" spans="2:13" ht="15" x14ac:dyDescent="0.2">
      <c r="B1" s="13" t="s">
        <v>0</v>
      </c>
      <c r="C1" s="13"/>
      <c r="D1" s="13"/>
      <c r="E1" s="13"/>
      <c r="F1" s="13"/>
      <c r="G1" s="13"/>
      <c r="H1" s="13"/>
      <c r="I1" s="13"/>
    </row>
    <row r="2" spans="2:13" ht="15" x14ac:dyDescent="0.25">
      <c r="B2" s="14" t="s">
        <v>1</v>
      </c>
      <c r="C2" s="14"/>
      <c r="D2" s="14"/>
      <c r="E2" s="14"/>
      <c r="F2" s="14"/>
      <c r="G2" s="14"/>
      <c r="H2" s="14"/>
      <c r="I2" s="14"/>
    </row>
    <row r="3" spans="2:13" x14ac:dyDescent="0.2">
      <c r="B3" s="15" t="s">
        <v>2</v>
      </c>
      <c r="C3" s="16"/>
      <c r="D3" s="16"/>
      <c r="E3" s="16"/>
      <c r="F3" s="16"/>
      <c r="G3" s="16"/>
      <c r="H3" s="16"/>
      <c r="I3" s="17"/>
    </row>
    <row r="4" spans="2:13" x14ac:dyDescent="0.2">
      <c r="B4" s="18" t="s">
        <v>3</v>
      </c>
      <c r="C4" s="19"/>
      <c r="D4" s="19"/>
      <c r="E4" s="19"/>
      <c r="F4" s="19"/>
      <c r="G4" s="19"/>
      <c r="H4" s="19"/>
      <c r="I4" s="20"/>
    </row>
    <row r="5" spans="2:13" x14ac:dyDescent="0.2">
      <c r="B5" s="18" t="s">
        <v>4</v>
      </c>
      <c r="C5" s="19"/>
      <c r="D5" s="19"/>
      <c r="E5" s="19"/>
      <c r="F5" s="19"/>
      <c r="G5" s="19"/>
      <c r="H5" s="19"/>
      <c r="I5" s="20"/>
    </row>
    <row r="6" spans="2:13" x14ac:dyDescent="0.2">
      <c r="B6" s="18" t="s">
        <v>5</v>
      </c>
      <c r="C6" s="19"/>
      <c r="D6" s="19"/>
      <c r="E6" s="19"/>
      <c r="F6" s="19"/>
      <c r="G6" s="19"/>
      <c r="H6" s="19"/>
      <c r="I6" s="20"/>
    </row>
    <row r="7" spans="2:13" x14ac:dyDescent="0.2">
      <c r="B7" s="21" t="s">
        <v>6</v>
      </c>
      <c r="C7" s="22"/>
      <c r="D7" s="22"/>
      <c r="E7" s="22"/>
      <c r="F7" s="22"/>
      <c r="G7" s="22"/>
      <c r="H7" s="22"/>
      <c r="I7" s="23"/>
    </row>
    <row r="8" spans="2:13" x14ac:dyDescent="0.2">
      <c r="B8" s="24" t="s">
        <v>7</v>
      </c>
      <c r="C8" s="24"/>
      <c r="D8" s="25" t="s">
        <v>8</v>
      </c>
      <c r="E8" s="25"/>
      <c r="F8" s="25"/>
      <c r="G8" s="25"/>
      <c r="H8" s="25"/>
      <c r="I8" s="25" t="s">
        <v>9</v>
      </c>
    </row>
    <row r="9" spans="2:13" ht="18" x14ac:dyDescent="0.2">
      <c r="B9" s="24"/>
      <c r="C9" s="24"/>
      <c r="D9" s="10" t="s">
        <v>10</v>
      </c>
      <c r="E9" s="1" t="s">
        <v>11</v>
      </c>
      <c r="F9" s="10" t="s">
        <v>12</v>
      </c>
      <c r="G9" s="10" t="s">
        <v>13</v>
      </c>
      <c r="H9" s="10" t="s">
        <v>14</v>
      </c>
      <c r="I9" s="25"/>
    </row>
    <row r="10" spans="2:13" x14ac:dyDescent="0.2">
      <c r="B10" s="26" t="s">
        <v>15</v>
      </c>
      <c r="C10" s="27"/>
      <c r="D10" s="30">
        <f>+D11+D19+D29+D39+D49+D59+D63+D72+D76</f>
        <v>191498771.69</v>
      </c>
      <c r="E10" s="30">
        <f t="shared" ref="E10:I10" si="0">+E11+E19+E29+E39+E49+E59+E63+E72+E76</f>
        <v>0</v>
      </c>
      <c r="F10" s="30">
        <f>+F11+F19+F29+F39+F49+F59+F63+F72+F76</f>
        <v>191498771.69</v>
      </c>
      <c r="G10" s="30">
        <f>+G11+G19+G29+G39+G49+G59+G63+G72+G76</f>
        <v>56550226.503490001</v>
      </c>
      <c r="H10" s="30">
        <f>+H11+H19+H29+H39+H49+H59+H63+H72+H76</f>
        <v>55741479.77528999</v>
      </c>
      <c r="I10" s="30">
        <f t="shared" si="0"/>
        <v>134948545.18651</v>
      </c>
      <c r="K10" s="28"/>
    </row>
    <row r="11" spans="2:13" x14ac:dyDescent="0.2">
      <c r="B11" s="11" t="s">
        <v>16</v>
      </c>
      <c r="C11" s="12"/>
      <c r="D11" s="31">
        <f>SUM(D12:D18)</f>
        <v>56026847.799999997</v>
      </c>
      <c r="E11" s="31">
        <f>SUM(E12:E18)</f>
        <v>0</v>
      </c>
      <c r="F11" s="31">
        <f>SUM(F12:F18)</f>
        <v>56026847.799999997</v>
      </c>
      <c r="G11" s="31">
        <f>SUM(G12:G18)</f>
        <v>11738194.3606</v>
      </c>
      <c r="H11" s="31">
        <f>SUM(H12:H18)</f>
        <v>11738194.488600001</v>
      </c>
      <c r="I11" s="31">
        <f t="shared" ref="I11:I18" si="1">+F11-G11</f>
        <v>44288653.439399995</v>
      </c>
      <c r="L11" s="32"/>
      <c r="M11" s="32"/>
    </row>
    <row r="12" spans="2:13" x14ac:dyDescent="0.2">
      <c r="B12" s="2"/>
      <c r="C12" s="3" t="s">
        <v>17</v>
      </c>
      <c r="D12" s="33">
        <f>28230156-D89</f>
        <v>20498100.399999999</v>
      </c>
      <c r="E12" s="34">
        <v>0</v>
      </c>
      <c r="F12" s="34">
        <f t="shared" ref="F12:F18" si="2">+D12+E12</f>
        <v>20498100.399999999</v>
      </c>
      <c r="G12" s="34">
        <v>5121160.9875400001</v>
      </c>
      <c r="H12" s="34">
        <v>5121161.0875400007</v>
      </c>
      <c r="I12" s="34">
        <f t="shared" si="1"/>
        <v>15376939.412459999</v>
      </c>
      <c r="K12" s="28"/>
    </row>
    <row r="13" spans="2:13" x14ac:dyDescent="0.2">
      <c r="B13" s="2"/>
      <c r="C13" s="3" t="s">
        <v>18</v>
      </c>
      <c r="D13" s="33">
        <f>521264-D90</f>
        <v>521264</v>
      </c>
      <c r="E13" s="34">
        <v>0</v>
      </c>
      <c r="F13" s="34">
        <f t="shared" si="2"/>
        <v>521264</v>
      </c>
      <c r="G13" s="34">
        <f>49033.50985-G90</f>
        <v>49033.509850000002</v>
      </c>
      <c r="H13" s="34">
        <f>49033.50985-H90</f>
        <v>49033.509850000002</v>
      </c>
      <c r="I13" s="34">
        <f t="shared" si="1"/>
        <v>472230.49014999997</v>
      </c>
    </row>
    <row r="14" spans="2:13" x14ac:dyDescent="0.2">
      <c r="B14" s="2"/>
      <c r="C14" s="3" t="s">
        <v>19</v>
      </c>
      <c r="D14" s="33">
        <f>20377581.4-D91</f>
        <v>18489230.899999999</v>
      </c>
      <c r="E14" s="34">
        <v>0</v>
      </c>
      <c r="F14" s="34">
        <f t="shared" si="2"/>
        <v>18489230.899999999</v>
      </c>
      <c r="G14" s="34">
        <f>3850854.829-G91</f>
        <v>3533801.8689999999</v>
      </c>
      <c r="H14" s="34">
        <f>3850854.9-H91</f>
        <v>3533801.94</v>
      </c>
      <c r="I14" s="34">
        <f t="shared" si="1"/>
        <v>14955429.030999999</v>
      </c>
      <c r="K14" s="28"/>
      <c r="L14" s="28"/>
    </row>
    <row r="15" spans="2:13" x14ac:dyDescent="0.2">
      <c r="B15" s="2"/>
      <c r="C15" s="3" t="s">
        <v>20</v>
      </c>
      <c r="D15" s="33">
        <f>7367683.8-D92</f>
        <v>6745025.8999999994</v>
      </c>
      <c r="E15" s="34">
        <v>0</v>
      </c>
      <c r="F15" s="34">
        <f t="shared" si="2"/>
        <v>6745025.8999999994</v>
      </c>
      <c r="G15" s="34">
        <f>2077386.443-G92</f>
        <v>1899720.1029999999</v>
      </c>
      <c r="H15" s="34">
        <f>2077386.4-H92</f>
        <v>1899720.0599999998</v>
      </c>
      <c r="I15" s="34">
        <f t="shared" si="1"/>
        <v>4845305.7969999993</v>
      </c>
    </row>
    <row r="16" spans="2:13" x14ac:dyDescent="0.2">
      <c r="B16" s="2"/>
      <c r="C16" s="3" t="s">
        <v>21</v>
      </c>
      <c r="D16" s="33">
        <f>10764782.7-D93</f>
        <v>9479398</v>
      </c>
      <c r="E16" s="34">
        <v>0</v>
      </c>
      <c r="F16" s="34">
        <f t="shared" si="2"/>
        <v>9479398</v>
      </c>
      <c r="G16" s="34">
        <f>1153570.677-G93</f>
        <v>1053698.257</v>
      </c>
      <c r="H16" s="34">
        <f>1153570.677-H93</f>
        <v>1053698.257</v>
      </c>
      <c r="I16" s="34">
        <f t="shared" si="1"/>
        <v>8425699.7430000007</v>
      </c>
    </row>
    <row r="17" spans="2:11" x14ac:dyDescent="0.2">
      <c r="B17" s="2"/>
      <c r="C17" s="3" t="s">
        <v>22</v>
      </c>
      <c r="D17" s="33">
        <f>0-D94</f>
        <v>0</v>
      </c>
      <c r="E17" s="34">
        <v>0</v>
      </c>
      <c r="F17" s="34">
        <f t="shared" si="2"/>
        <v>0</v>
      </c>
      <c r="G17" s="34">
        <f>0-G94</f>
        <v>0</v>
      </c>
      <c r="H17" s="34">
        <f>0-H94</f>
        <v>0</v>
      </c>
      <c r="I17" s="34">
        <f t="shared" si="1"/>
        <v>0</v>
      </c>
    </row>
    <row r="18" spans="2:11" x14ac:dyDescent="0.2">
      <c r="B18" s="2"/>
      <c r="C18" s="3" t="s">
        <v>23</v>
      </c>
      <c r="D18" s="34">
        <f>293828.6-D95</f>
        <v>293828.59999999998</v>
      </c>
      <c r="E18" s="34">
        <v>0</v>
      </c>
      <c r="F18" s="34">
        <f t="shared" si="2"/>
        <v>293828.59999999998</v>
      </c>
      <c r="G18" s="34">
        <f>80779.63421-G95</f>
        <v>80779.634210000004</v>
      </c>
      <c r="H18" s="34">
        <f>80779.63421-H95</f>
        <v>80779.634210000004</v>
      </c>
      <c r="I18" s="34">
        <f t="shared" si="1"/>
        <v>213048.96578999999</v>
      </c>
    </row>
    <row r="19" spans="2:11" x14ac:dyDescent="0.2">
      <c r="B19" s="11" t="s">
        <v>24</v>
      </c>
      <c r="C19" s="12"/>
      <c r="D19" s="31">
        <f t="shared" ref="D19:I19" si="3">SUM(D20:D28)</f>
        <v>2529292.0699999998</v>
      </c>
      <c r="E19" s="31">
        <f t="shared" si="3"/>
        <v>0</v>
      </c>
      <c r="F19" s="31">
        <f t="shared" si="3"/>
        <v>2529292.0699999998</v>
      </c>
      <c r="G19" s="31">
        <f t="shared" si="3"/>
        <v>298631.02692999999</v>
      </c>
      <c r="H19" s="31">
        <f t="shared" si="3"/>
        <v>295592.31347000005</v>
      </c>
      <c r="I19" s="31">
        <f t="shared" si="3"/>
        <v>2230661.0430699997</v>
      </c>
      <c r="K19" s="28"/>
    </row>
    <row r="20" spans="2:11" x14ac:dyDescent="0.2">
      <c r="B20" s="2"/>
      <c r="C20" s="3" t="s">
        <v>25</v>
      </c>
      <c r="D20" s="34">
        <f>370594.4-D97</f>
        <v>369608.9</v>
      </c>
      <c r="E20" s="34">
        <v>0</v>
      </c>
      <c r="F20" s="34">
        <f t="shared" ref="F20:F28" si="4">+D20+E20</f>
        <v>369608.9</v>
      </c>
      <c r="G20" s="34">
        <f>11243.7674-G97</f>
        <v>11243.767400000001</v>
      </c>
      <c r="H20" s="34">
        <f>10067.86902-H97</f>
        <v>10067.86902</v>
      </c>
      <c r="I20" s="34">
        <f t="shared" ref="I20:I28" si="5">+F20-G20</f>
        <v>358365.13260000001</v>
      </c>
    </row>
    <row r="21" spans="2:11" x14ac:dyDescent="0.2">
      <c r="B21" s="2"/>
      <c r="C21" s="3" t="s">
        <v>26</v>
      </c>
      <c r="D21" s="34">
        <f>1388430.9-D98</f>
        <v>1388186.4</v>
      </c>
      <c r="E21" s="34">
        <v>0</v>
      </c>
      <c r="F21" s="34">
        <f t="shared" si="4"/>
        <v>1388186.4</v>
      </c>
      <c r="G21" s="34">
        <f>197169.3118-G98</f>
        <v>197169.3118</v>
      </c>
      <c r="H21" s="34">
        <f>197060.3027-H98</f>
        <v>197060.3027</v>
      </c>
      <c r="I21" s="34">
        <f t="shared" si="5"/>
        <v>1191017.0881999999</v>
      </c>
    </row>
    <row r="22" spans="2:11" x14ac:dyDescent="0.2">
      <c r="B22" s="2"/>
      <c r="C22" s="3" t="s">
        <v>27</v>
      </c>
      <c r="D22" s="34">
        <f>206.9-D99</f>
        <v>206.9</v>
      </c>
      <c r="E22" s="34">
        <v>0</v>
      </c>
      <c r="F22" s="34">
        <f t="shared" si="4"/>
        <v>206.9</v>
      </c>
      <c r="G22" s="34">
        <f>52.9-G99</f>
        <v>52.9</v>
      </c>
      <c r="H22" s="34">
        <v>52.9</v>
      </c>
      <c r="I22" s="34">
        <f>+F22-G22</f>
        <v>154</v>
      </c>
    </row>
    <row r="23" spans="2:11" x14ac:dyDescent="0.2">
      <c r="B23" s="2"/>
      <c r="C23" s="3" t="s">
        <v>28</v>
      </c>
      <c r="D23" s="34">
        <f>59710-D100</f>
        <v>59706</v>
      </c>
      <c r="E23" s="34">
        <v>0</v>
      </c>
      <c r="F23" s="34">
        <f t="shared" si="4"/>
        <v>59706</v>
      </c>
      <c r="G23" s="34">
        <f>2974.75775-G100</f>
        <v>2974.7577500000002</v>
      </c>
      <c r="H23" s="34">
        <f>2917.17401-H100</f>
        <v>2917.1740100000002</v>
      </c>
      <c r="I23" s="34">
        <f t="shared" si="5"/>
        <v>56731.242250000003</v>
      </c>
    </row>
    <row r="24" spans="2:11" x14ac:dyDescent="0.2">
      <c r="B24" s="2"/>
      <c r="C24" s="3" t="s">
        <v>29</v>
      </c>
      <c r="D24" s="34">
        <f>34947.5-D101</f>
        <v>34857.57</v>
      </c>
      <c r="E24" s="34">
        <v>0</v>
      </c>
      <c r="F24" s="34">
        <f t="shared" si="4"/>
        <v>34857.57</v>
      </c>
      <c r="G24" s="34">
        <f>3002.44764-G101</f>
        <v>3002.4476399999999</v>
      </c>
      <c r="H24" s="34">
        <f>2979.16101-H101</f>
        <v>2979.1610099999998</v>
      </c>
      <c r="I24" s="34">
        <f t="shared" si="5"/>
        <v>31855.122360000001</v>
      </c>
    </row>
    <row r="25" spans="2:11" x14ac:dyDescent="0.2">
      <c r="B25" s="2"/>
      <c r="C25" s="3" t="s">
        <v>30</v>
      </c>
      <c r="D25" s="34">
        <f>452315.1-D102</f>
        <v>452315.1</v>
      </c>
      <c r="E25" s="34">
        <v>0</v>
      </c>
      <c r="F25" s="34">
        <f t="shared" si="4"/>
        <v>452315.1</v>
      </c>
      <c r="G25" s="34">
        <f>82252.23561-G102</f>
        <v>82252.235610000003</v>
      </c>
      <c r="H25" s="34">
        <f>80639.9-H102</f>
        <v>80639.899999999994</v>
      </c>
      <c r="I25" s="34">
        <f t="shared" si="5"/>
        <v>370062.86439</v>
      </c>
    </row>
    <row r="26" spans="2:11" x14ac:dyDescent="0.2">
      <c r="B26" s="2"/>
      <c r="C26" s="3" t="s">
        <v>31</v>
      </c>
      <c r="D26" s="34">
        <f>109798.1-D103</f>
        <v>109305.40000000001</v>
      </c>
      <c r="E26" s="34">
        <v>0</v>
      </c>
      <c r="F26" s="34">
        <f t="shared" si="4"/>
        <v>109305.40000000001</v>
      </c>
      <c r="G26" s="34">
        <f>357.50673-G103</f>
        <v>357.50673</v>
      </c>
      <c r="H26" s="34">
        <f>357.50673-H103</f>
        <v>357.50673</v>
      </c>
      <c r="I26" s="34">
        <f t="shared" si="5"/>
        <v>108947.89327000002</v>
      </c>
    </row>
    <row r="27" spans="2:11" x14ac:dyDescent="0.2">
      <c r="B27" s="2"/>
      <c r="C27" s="3" t="s">
        <v>32</v>
      </c>
      <c r="D27" s="34">
        <f>80148.7-D104</f>
        <v>80148.7</v>
      </c>
      <c r="E27" s="34">
        <v>0</v>
      </c>
      <c r="F27" s="34">
        <f t="shared" si="4"/>
        <v>80148.7</v>
      </c>
      <c r="G27" s="34">
        <f>0-G104</f>
        <v>0</v>
      </c>
      <c r="H27" s="34">
        <f>0-H104</f>
        <v>0</v>
      </c>
      <c r="I27" s="34">
        <f t="shared" si="5"/>
        <v>80148.7</v>
      </c>
    </row>
    <row r="28" spans="2:11" x14ac:dyDescent="0.2">
      <c r="B28" s="2"/>
      <c r="C28" s="3" t="s">
        <v>33</v>
      </c>
      <c r="D28" s="34">
        <f>34957.1-D105</f>
        <v>34957.1</v>
      </c>
      <c r="E28" s="34">
        <v>0</v>
      </c>
      <c r="F28" s="34">
        <f t="shared" si="4"/>
        <v>34957.1</v>
      </c>
      <c r="G28" s="34">
        <f>1578.1-G105</f>
        <v>1578.1</v>
      </c>
      <c r="H28" s="34">
        <f>1517.5-H105</f>
        <v>1517.5</v>
      </c>
      <c r="I28" s="34">
        <f t="shared" si="5"/>
        <v>33379</v>
      </c>
    </row>
    <row r="29" spans="2:11" x14ac:dyDescent="0.2">
      <c r="B29" s="11" t="s">
        <v>34</v>
      </c>
      <c r="C29" s="12"/>
      <c r="D29" s="31">
        <f t="shared" ref="D29:I29" si="6">SUM(D30:D38)</f>
        <v>10752123.5</v>
      </c>
      <c r="E29" s="31">
        <f t="shared" si="6"/>
        <v>0</v>
      </c>
      <c r="F29" s="31">
        <f t="shared" si="6"/>
        <v>10752123.5</v>
      </c>
      <c r="G29" s="31">
        <f t="shared" si="6"/>
        <v>1219819.2638199998</v>
      </c>
      <c r="H29" s="31">
        <f t="shared" si="6"/>
        <v>1203084.7999799999</v>
      </c>
      <c r="I29" s="31">
        <f t="shared" si="6"/>
        <v>9532304.23618</v>
      </c>
    </row>
    <row r="30" spans="2:11" x14ac:dyDescent="0.2">
      <c r="B30" s="2"/>
      <c r="C30" s="3" t="s">
        <v>35</v>
      </c>
      <c r="D30" s="34">
        <f>688211.4-D107</f>
        <v>688201.1</v>
      </c>
      <c r="E30" s="34">
        <v>0</v>
      </c>
      <c r="F30" s="34">
        <f t="shared" ref="F30:F38" si="7">+D30+E30</f>
        <v>688201.1</v>
      </c>
      <c r="G30" s="34">
        <f>94353.66829-G107</f>
        <v>94353.668290000001</v>
      </c>
      <c r="H30" s="34">
        <f>92317.66022-H107</f>
        <v>92317.660220000005</v>
      </c>
      <c r="I30" s="34">
        <f t="shared" ref="I30:I38" si="8">+F30-G30</f>
        <v>593847.43170999992</v>
      </c>
    </row>
    <row r="31" spans="2:11" x14ac:dyDescent="0.2">
      <c r="B31" s="2"/>
      <c r="C31" s="3" t="s">
        <v>36</v>
      </c>
      <c r="D31" s="34">
        <f>1480051.4-D108</f>
        <v>1479961.4</v>
      </c>
      <c r="E31" s="34">
        <v>0</v>
      </c>
      <c r="F31" s="34">
        <f>+D31+E31</f>
        <v>1479961.4</v>
      </c>
      <c r="G31" s="34">
        <f>237172.3318-G108</f>
        <v>237172.33180000001</v>
      </c>
      <c r="H31" s="34">
        <f>232614.4272-H108</f>
        <v>232614.42720000001</v>
      </c>
      <c r="I31" s="34">
        <f t="shared" si="8"/>
        <v>1242789.0681999999</v>
      </c>
    </row>
    <row r="32" spans="2:11" x14ac:dyDescent="0.2">
      <c r="B32" s="2"/>
      <c r="C32" s="3" t="s">
        <v>37</v>
      </c>
      <c r="D32" s="34">
        <f>2772313.4-D109</f>
        <v>2745452.9</v>
      </c>
      <c r="E32" s="34">
        <v>0</v>
      </c>
      <c r="F32" s="34">
        <f t="shared" si="7"/>
        <v>2745452.9</v>
      </c>
      <c r="G32" s="34">
        <f>343741.1288-G109</f>
        <v>343741.12880000001</v>
      </c>
      <c r="H32" s="34">
        <f>336144.3913-H109</f>
        <v>336144.39130000002</v>
      </c>
      <c r="I32" s="34">
        <f t="shared" si="8"/>
        <v>2401711.7711999998</v>
      </c>
    </row>
    <row r="33" spans="2:11" x14ac:dyDescent="0.2">
      <c r="B33" s="2"/>
      <c r="C33" s="3" t="s">
        <v>38</v>
      </c>
      <c r="D33" s="34">
        <f>770994.5-D110</f>
        <v>770994.5</v>
      </c>
      <c r="E33" s="34">
        <v>0</v>
      </c>
      <c r="F33" s="34">
        <f t="shared" si="7"/>
        <v>770994.5</v>
      </c>
      <c r="G33" s="34">
        <f>84301.4365-G110</f>
        <v>84301.436499999996</v>
      </c>
      <c r="H33" s="34">
        <f>83957.81924-H110</f>
        <v>83957.819239999997</v>
      </c>
      <c r="I33" s="34">
        <f t="shared" si="8"/>
        <v>686693.06350000005</v>
      </c>
    </row>
    <row r="34" spans="2:11" x14ac:dyDescent="0.2">
      <c r="B34" s="2"/>
      <c r="C34" s="3" t="s">
        <v>39</v>
      </c>
      <c r="D34" s="34">
        <f>932074.1-D111</f>
        <v>932074.1</v>
      </c>
      <c r="E34" s="34">
        <v>0</v>
      </c>
      <c r="F34" s="34">
        <f t="shared" si="7"/>
        <v>932074.1</v>
      </c>
      <c r="G34" s="34">
        <f>298566.007-G111</f>
        <v>298566.00699999998</v>
      </c>
      <c r="H34" s="34">
        <f>296686.3-H111</f>
        <v>296686.3</v>
      </c>
      <c r="I34" s="34">
        <f t="shared" si="8"/>
        <v>633508.09299999999</v>
      </c>
    </row>
    <row r="35" spans="2:11" x14ac:dyDescent="0.2">
      <c r="B35" s="2"/>
      <c r="C35" s="3" t="s">
        <v>40</v>
      </c>
      <c r="D35" s="34">
        <f>365593.1-D112</f>
        <v>365593.1</v>
      </c>
      <c r="E35" s="34">
        <v>0</v>
      </c>
      <c r="F35" s="34">
        <f t="shared" si="7"/>
        <v>365593.1</v>
      </c>
      <c r="G35" s="34">
        <f>2931.76193-G112</f>
        <v>2931.7619300000001</v>
      </c>
      <c r="H35" s="34">
        <f>2931.76193-H112</f>
        <v>2931.7619300000001</v>
      </c>
      <c r="I35" s="34">
        <f t="shared" si="8"/>
        <v>362661.33807</v>
      </c>
    </row>
    <row r="36" spans="2:11" x14ac:dyDescent="0.2">
      <c r="B36" s="2"/>
      <c r="C36" s="3" t="s">
        <v>41</v>
      </c>
      <c r="D36" s="34">
        <f>36991.8-D113</f>
        <v>36974.800000000003</v>
      </c>
      <c r="E36" s="34">
        <v>0</v>
      </c>
      <c r="F36" s="34">
        <f t="shared" si="7"/>
        <v>36974.800000000003</v>
      </c>
      <c r="G36" s="34">
        <f>3140.94296-G113</f>
        <v>3140.9429599999999</v>
      </c>
      <c r="H36" s="34">
        <f>2963.66135-H113</f>
        <v>2963.6613499999999</v>
      </c>
      <c r="I36" s="34">
        <f t="shared" si="8"/>
        <v>33833.857040000003</v>
      </c>
    </row>
    <row r="37" spans="2:11" x14ac:dyDescent="0.2">
      <c r="B37" s="2"/>
      <c r="C37" s="3" t="s">
        <v>42</v>
      </c>
      <c r="D37" s="34">
        <f>193017.6-D114</f>
        <v>193017.60000000001</v>
      </c>
      <c r="E37" s="34">
        <v>0</v>
      </c>
      <c r="F37" s="34">
        <f t="shared" si="7"/>
        <v>193017.60000000001</v>
      </c>
      <c r="G37" s="34">
        <f>8030.33114-G114</f>
        <v>8030.3311400000002</v>
      </c>
      <c r="H37" s="34">
        <f>8030.33114-H114</f>
        <v>8030.3311400000002</v>
      </c>
      <c r="I37" s="34">
        <f t="shared" si="8"/>
        <v>184987.26886000001</v>
      </c>
    </row>
    <row r="38" spans="2:11" x14ac:dyDescent="0.2">
      <c r="B38" s="2"/>
      <c r="C38" s="3" t="s">
        <v>43</v>
      </c>
      <c r="D38" s="34">
        <f>3539854-D115</f>
        <v>3539854</v>
      </c>
      <c r="E38" s="34">
        <v>0</v>
      </c>
      <c r="F38" s="34">
        <f t="shared" si="7"/>
        <v>3539854</v>
      </c>
      <c r="G38" s="34">
        <f>147581.6554-G115</f>
        <v>147581.65539999999</v>
      </c>
      <c r="H38" s="34">
        <f>147438.4476-H115</f>
        <v>147438.44760000001</v>
      </c>
      <c r="I38" s="34">
        <f t="shared" si="8"/>
        <v>3392272.3446</v>
      </c>
    </row>
    <row r="39" spans="2:11" x14ac:dyDescent="0.2">
      <c r="B39" s="11" t="s">
        <v>44</v>
      </c>
      <c r="C39" s="12"/>
      <c r="D39" s="31">
        <f t="shared" ref="D39:I39" si="9">SUM(D40:D48)</f>
        <v>65881124.600000001</v>
      </c>
      <c r="E39" s="31">
        <f t="shared" si="9"/>
        <v>0</v>
      </c>
      <c r="F39" s="31">
        <f t="shared" si="9"/>
        <v>65881124.600000001</v>
      </c>
      <c r="G39" s="31">
        <f t="shared" si="9"/>
        <v>17211721.6127</v>
      </c>
      <c r="H39" s="31">
        <f t="shared" si="9"/>
        <v>17131882.392899998</v>
      </c>
      <c r="I39" s="31">
        <f t="shared" si="9"/>
        <v>48669402.987300016</v>
      </c>
    </row>
    <row r="40" spans="2:11" x14ac:dyDescent="0.2">
      <c r="B40" s="2"/>
      <c r="C40" s="3" t="s">
        <v>45</v>
      </c>
      <c r="D40" s="34">
        <f>18586034-D117</f>
        <v>18586034</v>
      </c>
      <c r="E40" s="34">
        <v>0</v>
      </c>
      <c r="F40" s="34">
        <f t="shared" ref="F40:F48" si="10">+D40+E40</f>
        <v>18586034</v>
      </c>
      <c r="G40" s="34">
        <f>4087925.699-G117</f>
        <v>3598606.7590000001</v>
      </c>
      <c r="H40" s="34">
        <f>4009680.44-H117</f>
        <v>3520361.5</v>
      </c>
      <c r="I40" s="34">
        <f t="shared" ref="I40:I58" si="11">+F40-G40</f>
        <v>14987427.241</v>
      </c>
    </row>
    <row r="41" spans="2:11" x14ac:dyDescent="0.2">
      <c r="B41" s="2"/>
      <c r="C41" s="3" t="s">
        <v>46</v>
      </c>
      <c r="D41" s="34">
        <f>0-D118</f>
        <v>0</v>
      </c>
      <c r="E41" s="34">
        <v>0</v>
      </c>
      <c r="F41" s="34">
        <f t="shared" si="10"/>
        <v>0</v>
      </c>
      <c r="G41" s="34">
        <f>0-G118</f>
        <v>0</v>
      </c>
      <c r="H41" s="34">
        <f>0-H118</f>
        <v>0</v>
      </c>
      <c r="I41" s="34">
        <f t="shared" si="11"/>
        <v>0</v>
      </c>
    </row>
    <row r="42" spans="2:11" x14ac:dyDescent="0.2">
      <c r="B42" s="2"/>
      <c r="C42" s="3" t="s">
        <v>47</v>
      </c>
      <c r="D42" s="34">
        <f>6532163.8-D119</f>
        <v>6531556.5</v>
      </c>
      <c r="E42" s="34">
        <v>0</v>
      </c>
      <c r="F42" s="34">
        <f t="shared" si="10"/>
        <v>6531556.5</v>
      </c>
      <c r="G42" s="34">
        <f>5125582.665-G119</f>
        <v>5125582.665</v>
      </c>
      <c r="H42" s="34">
        <f>5125582.665-H119</f>
        <v>5125582.665</v>
      </c>
      <c r="I42" s="34">
        <f t="shared" si="11"/>
        <v>1405973.835</v>
      </c>
    </row>
    <row r="43" spans="2:11" x14ac:dyDescent="0.2">
      <c r="B43" s="2"/>
      <c r="C43" s="3" t="s">
        <v>48</v>
      </c>
      <c r="D43" s="34">
        <f>12235947.2-D120</f>
        <v>12235477.799999999</v>
      </c>
      <c r="E43" s="34">
        <v>0</v>
      </c>
      <c r="F43" s="34">
        <f t="shared" si="10"/>
        <v>12235477.799999999</v>
      </c>
      <c r="G43" s="34">
        <f>396378.6087-G120</f>
        <v>396378.60869999998</v>
      </c>
      <c r="H43" s="34">
        <f>396355.1479-H120</f>
        <v>396355.14789999998</v>
      </c>
      <c r="I43" s="34">
        <f t="shared" si="11"/>
        <v>11839099.191299999</v>
      </c>
    </row>
    <row r="44" spans="2:11" x14ac:dyDescent="0.2">
      <c r="B44" s="2"/>
      <c r="C44" s="3" t="s">
        <v>49</v>
      </c>
      <c r="D44" s="34">
        <f>19943.8-D121</f>
        <v>19943.8</v>
      </c>
      <c r="E44" s="34">
        <v>0</v>
      </c>
      <c r="F44" s="34">
        <f t="shared" si="10"/>
        <v>19943.8</v>
      </c>
      <c r="G44" s="34">
        <f>1570.5-G121</f>
        <v>1570.5</v>
      </c>
      <c r="H44" s="34">
        <f>0-H121</f>
        <v>0</v>
      </c>
      <c r="I44" s="34">
        <f t="shared" si="11"/>
        <v>18373.3</v>
      </c>
    </row>
    <row r="45" spans="2:11" x14ac:dyDescent="0.2">
      <c r="B45" s="2"/>
      <c r="C45" s="3" t="s">
        <v>50</v>
      </c>
      <c r="D45" s="34">
        <f>87180930.9-D122</f>
        <v>28394285.200000003</v>
      </c>
      <c r="E45" s="34">
        <v>0</v>
      </c>
      <c r="F45" s="34">
        <f t="shared" si="10"/>
        <v>28394285.200000003</v>
      </c>
      <c r="G45" s="34">
        <v>8089583.0800000001</v>
      </c>
      <c r="H45" s="34">
        <v>8089583.0800000001</v>
      </c>
      <c r="I45" s="34">
        <f t="shared" si="11"/>
        <v>20304702.120000005</v>
      </c>
      <c r="K45" s="28"/>
    </row>
    <row r="46" spans="2:11" x14ac:dyDescent="0.2">
      <c r="B46" s="2"/>
      <c r="C46" s="3" t="s">
        <v>51</v>
      </c>
      <c r="D46" s="34">
        <f>0-D123</f>
        <v>0</v>
      </c>
      <c r="E46" s="34">
        <v>0</v>
      </c>
      <c r="F46" s="34">
        <f t="shared" si="10"/>
        <v>0</v>
      </c>
      <c r="G46" s="34">
        <f t="shared" ref="G46:H48" si="12">0-G123</f>
        <v>0</v>
      </c>
      <c r="H46" s="34">
        <f>0-H123</f>
        <v>0</v>
      </c>
      <c r="I46" s="34">
        <f t="shared" si="11"/>
        <v>0</v>
      </c>
    </row>
    <row r="47" spans="2:11" x14ac:dyDescent="0.2">
      <c r="B47" s="2"/>
      <c r="C47" s="3" t="s">
        <v>52</v>
      </c>
      <c r="D47" s="34">
        <f>111791.6-D124</f>
        <v>111791.6</v>
      </c>
      <c r="E47" s="34">
        <v>0</v>
      </c>
      <c r="F47" s="34">
        <f t="shared" si="10"/>
        <v>111791.6</v>
      </c>
      <c r="G47" s="34">
        <f t="shared" si="12"/>
        <v>0</v>
      </c>
      <c r="H47" s="34">
        <f t="shared" si="12"/>
        <v>0</v>
      </c>
      <c r="I47" s="34">
        <f t="shared" si="11"/>
        <v>111791.6</v>
      </c>
    </row>
    <row r="48" spans="2:11" x14ac:dyDescent="0.2">
      <c r="B48" s="2"/>
      <c r="C48" s="3" t="s">
        <v>53</v>
      </c>
      <c r="D48" s="34">
        <f>2035.7-D125</f>
        <v>2035.7</v>
      </c>
      <c r="E48" s="34">
        <v>0</v>
      </c>
      <c r="F48" s="34">
        <f t="shared" si="10"/>
        <v>2035.7</v>
      </c>
      <c r="G48" s="34">
        <f t="shared" si="12"/>
        <v>0</v>
      </c>
      <c r="H48" s="34">
        <f t="shared" si="12"/>
        <v>0</v>
      </c>
      <c r="I48" s="34">
        <f t="shared" si="11"/>
        <v>2035.7</v>
      </c>
    </row>
    <row r="49" spans="2:16" x14ac:dyDescent="0.2">
      <c r="B49" s="11" t="s">
        <v>54</v>
      </c>
      <c r="C49" s="12"/>
      <c r="D49" s="31">
        <f>SUM(D50:D58)</f>
        <v>83730.58</v>
      </c>
      <c r="E49" s="31">
        <f>SUM(E50:E58)</f>
        <v>0</v>
      </c>
      <c r="F49" s="31">
        <f>SUM(F50:F58)</f>
        <v>83730.58</v>
      </c>
      <c r="G49" s="31">
        <f>SUM(G50:G58)</f>
        <v>99.644000000000005</v>
      </c>
      <c r="H49" s="31">
        <f>SUM(H50:H58)</f>
        <v>99.644000000000005</v>
      </c>
      <c r="I49" s="31">
        <f t="shared" si="11"/>
        <v>83630.936000000002</v>
      </c>
    </row>
    <row r="50" spans="2:16" x14ac:dyDescent="0.2">
      <c r="B50" s="2"/>
      <c r="C50" s="3" t="s">
        <v>55</v>
      </c>
      <c r="D50" s="34">
        <f>70174.1-D127</f>
        <v>69074.58</v>
      </c>
      <c r="E50" s="34">
        <v>0</v>
      </c>
      <c r="F50" s="34">
        <f t="shared" ref="F50:F58" si="13">+D50+E50</f>
        <v>69074.58</v>
      </c>
      <c r="G50" s="34">
        <f>99.644-G127</f>
        <v>99.644000000000005</v>
      </c>
      <c r="H50" s="34">
        <f>99.644-H127</f>
        <v>99.644000000000005</v>
      </c>
      <c r="I50" s="34">
        <f t="shared" si="11"/>
        <v>68974.936000000002</v>
      </c>
    </row>
    <row r="51" spans="2:16" x14ac:dyDescent="0.2">
      <c r="B51" s="2"/>
      <c r="C51" s="3" t="s">
        <v>56</v>
      </c>
      <c r="D51" s="34">
        <f>194-D128</f>
        <v>180</v>
      </c>
      <c r="E51" s="34">
        <v>0</v>
      </c>
      <c r="F51" s="34">
        <f t="shared" si="13"/>
        <v>180</v>
      </c>
      <c r="G51" s="34">
        <f t="shared" ref="G51:H58" si="14">0-G128</f>
        <v>0</v>
      </c>
      <c r="H51" s="34">
        <f t="shared" si="14"/>
        <v>0</v>
      </c>
      <c r="I51" s="34">
        <f t="shared" si="11"/>
        <v>180</v>
      </c>
    </row>
    <row r="52" spans="2:16" x14ac:dyDescent="0.2">
      <c r="B52" s="2"/>
      <c r="C52" s="3" t="s">
        <v>57</v>
      </c>
      <c r="D52" s="34">
        <f>30.4-D129</f>
        <v>0</v>
      </c>
      <c r="E52" s="34">
        <v>0</v>
      </c>
      <c r="F52" s="34">
        <f t="shared" si="13"/>
        <v>0</v>
      </c>
      <c r="G52" s="34">
        <f t="shared" si="14"/>
        <v>0</v>
      </c>
      <c r="H52" s="34">
        <f t="shared" si="14"/>
        <v>0</v>
      </c>
      <c r="I52" s="34">
        <f t="shared" si="11"/>
        <v>0</v>
      </c>
    </row>
    <row r="53" spans="2:16" x14ac:dyDescent="0.2">
      <c r="B53" s="2"/>
      <c r="C53" s="3" t="s">
        <v>58</v>
      </c>
      <c r="D53" s="34">
        <f>339.7-D130</f>
        <v>0</v>
      </c>
      <c r="E53" s="34">
        <v>0</v>
      </c>
      <c r="F53" s="34">
        <f t="shared" si="13"/>
        <v>0</v>
      </c>
      <c r="G53" s="34">
        <f t="shared" si="14"/>
        <v>0</v>
      </c>
      <c r="H53" s="34">
        <f t="shared" si="14"/>
        <v>0</v>
      </c>
      <c r="I53" s="34">
        <f t="shared" si="11"/>
        <v>0</v>
      </c>
    </row>
    <row r="54" spans="2:16" x14ac:dyDescent="0.2">
      <c r="B54" s="2"/>
      <c r="C54" s="3" t="s">
        <v>59</v>
      </c>
      <c r="D54" s="34">
        <f>0-D131</f>
        <v>0</v>
      </c>
      <c r="E54" s="34">
        <v>0</v>
      </c>
      <c r="F54" s="34">
        <f t="shared" si="13"/>
        <v>0</v>
      </c>
      <c r="G54" s="34">
        <f t="shared" si="14"/>
        <v>0</v>
      </c>
      <c r="H54" s="34">
        <f t="shared" si="14"/>
        <v>0</v>
      </c>
      <c r="I54" s="34">
        <f t="shared" si="11"/>
        <v>0</v>
      </c>
    </row>
    <row r="55" spans="2:16" x14ac:dyDescent="0.2">
      <c r="B55" s="2"/>
      <c r="C55" s="3" t="s">
        <v>60</v>
      </c>
      <c r="D55" s="34">
        <f>13414-D132</f>
        <v>13414</v>
      </c>
      <c r="E55" s="34">
        <v>0</v>
      </c>
      <c r="F55" s="34">
        <f>+D55+E55</f>
        <v>13414</v>
      </c>
      <c r="G55" s="34">
        <f t="shared" si="14"/>
        <v>0</v>
      </c>
      <c r="H55" s="34">
        <f t="shared" si="14"/>
        <v>0</v>
      </c>
      <c r="I55" s="34">
        <f t="shared" si="11"/>
        <v>13414</v>
      </c>
    </row>
    <row r="56" spans="2:16" x14ac:dyDescent="0.2">
      <c r="B56" s="2"/>
      <c r="C56" s="3" t="s">
        <v>61</v>
      </c>
      <c r="D56" s="34">
        <f>0-D133</f>
        <v>0</v>
      </c>
      <c r="E56" s="34">
        <v>0</v>
      </c>
      <c r="F56" s="34">
        <f t="shared" si="13"/>
        <v>0</v>
      </c>
      <c r="G56" s="34">
        <f t="shared" si="14"/>
        <v>0</v>
      </c>
      <c r="H56" s="34">
        <f t="shared" si="14"/>
        <v>0</v>
      </c>
      <c r="I56" s="34">
        <f t="shared" si="11"/>
        <v>0</v>
      </c>
    </row>
    <row r="57" spans="2:16" x14ac:dyDescent="0.2">
      <c r="B57" s="2"/>
      <c r="C57" s="3" t="s">
        <v>62</v>
      </c>
      <c r="D57" s="34">
        <f>0-D134</f>
        <v>0</v>
      </c>
      <c r="E57" s="34">
        <v>0</v>
      </c>
      <c r="F57" s="34">
        <f t="shared" si="13"/>
        <v>0</v>
      </c>
      <c r="G57" s="34">
        <f t="shared" si="14"/>
        <v>0</v>
      </c>
      <c r="H57" s="34">
        <f t="shared" si="14"/>
        <v>0</v>
      </c>
      <c r="I57" s="34">
        <f t="shared" si="11"/>
        <v>0</v>
      </c>
    </row>
    <row r="58" spans="2:16" x14ac:dyDescent="0.2">
      <c r="B58" s="2"/>
      <c r="C58" s="3" t="s">
        <v>63</v>
      </c>
      <c r="D58" s="34">
        <f>1062-D135</f>
        <v>1062</v>
      </c>
      <c r="E58" s="34">
        <v>0</v>
      </c>
      <c r="F58" s="34">
        <f t="shared" si="13"/>
        <v>1062</v>
      </c>
      <c r="G58" s="34">
        <f t="shared" si="14"/>
        <v>0</v>
      </c>
      <c r="H58" s="34">
        <f t="shared" si="14"/>
        <v>0</v>
      </c>
      <c r="I58" s="34">
        <f t="shared" si="11"/>
        <v>1062</v>
      </c>
      <c r="K58" s="32"/>
      <c r="L58" s="32"/>
      <c r="M58" s="32"/>
      <c r="N58" s="32"/>
      <c r="O58" s="32"/>
      <c r="P58" s="32"/>
    </row>
    <row r="59" spans="2:16" x14ac:dyDescent="0.2">
      <c r="B59" s="11" t="s">
        <v>64</v>
      </c>
      <c r="C59" s="12"/>
      <c r="D59" s="31">
        <f t="shared" ref="D59:I59" si="15">SUM(D60:D62)</f>
        <v>12044395.799999999</v>
      </c>
      <c r="E59" s="31">
        <f t="shared" si="15"/>
        <v>0</v>
      </c>
      <c r="F59" s="31">
        <f t="shared" si="15"/>
        <v>12044395.799999999</v>
      </c>
      <c r="G59" s="31">
        <f t="shared" si="15"/>
        <v>7234089.9600000009</v>
      </c>
      <c r="H59" s="31">
        <f t="shared" si="15"/>
        <v>6543847.6508999998</v>
      </c>
      <c r="I59" s="31">
        <f t="shared" si="15"/>
        <v>4810305.839999998</v>
      </c>
      <c r="K59" s="28"/>
    </row>
    <row r="60" spans="2:16" x14ac:dyDescent="0.2">
      <c r="B60" s="2"/>
      <c r="C60" s="3" t="s">
        <v>65</v>
      </c>
      <c r="D60" s="34">
        <f>16169624.1-D137</f>
        <v>11966722.699999999</v>
      </c>
      <c r="E60" s="34">
        <v>0</v>
      </c>
      <c r="F60" s="34">
        <f>+D60+E60</f>
        <v>11966722.699999999</v>
      </c>
      <c r="G60" s="34">
        <v>7219089.9600000009</v>
      </c>
      <c r="H60" s="34">
        <v>6538847.6508999998</v>
      </c>
      <c r="I60" s="34">
        <f>+F60-G60</f>
        <v>4747632.7399999984</v>
      </c>
    </row>
    <row r="61" spans="2:16" x14ac:dyDescent="0.2">
      <c r="B61" s="2"/>
      <c r="C61" s="3" t="s">
        <v>66</v>
      </c>
      <c r="D61" s="34">
        <f>0-D138</f>
        <v>0</v>
      </c>
      <c r="E61" s="34">
        <v>0</v>
      </c>
      <c r="F61" s="34">
        <f>+D61+E61</f>
        <v>0</v>
      </c>
      <c r="G61" s="34">
        <f>0-G138</f>
        <v>0</v>
      </c>
      <c r="H61" s="34">
        <f>0-H138</f>
        <v>0</v>
      </c>
      <c r="I61" s="34">
        <f>+F61-G61</f>
        <v>0</v>
      </c>
    </row>
    <row r="62" spans="2:16" x14ac:dyDescent="0.2">
      <c r="B62" s="2"/>
      <c r="C62" s="3" t="s">
        <v>67</v>
      </c>
      <c r="D62" s="34">
        <f>77673.1-D139</f>
        <v>77673.100000000006</v>
      </c>
      <c r="E62" s="34">
        <v>0</v>
      </c>
      <c r="F62" s="34">
        <f>+D62+E62</f>
        <v>77673.100000000006</v>
      </c>
      <c r="G62" s="34">
        <f>15000-G139</f>
        <v>15000</v>
      </c>
      <c r="H62" s="34">
        <f>5000-H139</f>
        <v>5000</v>
      </c>
      <c r="I62" s="34">
        <f>+F62-G62</f>
        <v>62673.100000000006</v>
      </c>
    </row>
    <row r="63" spans="2:16" x14ac:dyDescent="0.2">
      <c r="B63" s="11" t="s">
        <v>68</v>
      </c>
      <c r="C63" s="12"/>
      <c r="D63" s="31">
        <f t="shared" ref="D63:I63" si="16">SUM(D64:D71)</f>
        <v>1722832</v>
      </c>
      <c r="E63" s="31">
        <f t="shared" si="16"/>
        <v>0</v>
      </c>
      <c r="F63" s="31">
        <f t="shared" si="16"/>
        <v>1722832</v>
      </c>
      <c r="G63" s="31">
        <f t="shared" si="16"/>
        <v>2485498.37</v>
      </c>
      <c r="H63" s="31">
        <f t="shared" si="16"/>
        <v>2485498.37</v>
      </c>
      <c r="I63" s="31">
        <f t="shared" si="16"/>
        <v>-762666.37000000011</v>
      </c>
    </row>
    <row r="64" spans="2:16" x14ac:dyDescent="0.2">
      <c r="B64" s="2"/>
      <c r="C64" s="3" t="s">
        <v>69</v>
      </c>
      <c r="D64" s="34">
        <f>0-D141</f>
        <v>0</v>
      </c>
      <c r="E64" s="34">
        <v>0</v>
      </c>
      <c r="F64" s="34">
        <f t="shared" ref="F64:F71" si="17">+D64+E64</f>
        <v>0</v>
      </c>
      <c r="G64" s="34">
        <f t="shared" ref="G64:H67" si="18">0-G141</f>
        <v>0</v>
      </c>
      <c r="H64" s="34">
        <f t="shared" si="18"/>
        <v>0</v>
      </c>
      <c r="I64" s="34">
        <f t="shared" ref="I64:I71" si="19">+F64-G64</f>
        <v>0</v>
      </c>
    </row>
    <row r="65" spans="2:13" x14ac:dyDescent="0.2">
      <c r="B65" s="2"/>
      <c r="C65" s="3" t="s">
        <v>70</v>
      </c>
      <c r="D65" s="34">
        <f>0-D142</f>
        <v>0</v>
      </c>
      <c r="E65" s="34">
        <v>0</v>
      </c>
      <c r="F65" s="34">
        <f t="shared" si="17"/>
        <v>0</v>
      </c>
      <c r="G65" s="34">
        <f t="shared" si="18"/>
        <v>0</v>
      </c>
      <c r="H65" s="34">
        <f t="shared" si="18"/>
        <v>0</v>
      </c>
      <c r="I65" s="34">
        <f t="shared" si="19"/>
        <v>0</v>
      </c>
    </row>
    <row r="66" spans="2:13" x14ac:dyDescent="0.2">
      <c r="B66" s="2"/>
      <c r="C66" s="3" t="s">
        <v>71</v>
      </c>
      <c r="D66" s="34">
        <f>0-D143</f>
        <v>0</v>
      </c>
      <c r="E66" s="34">
        <v>0</v>
      </c>
      <c r="F66" s="34">
        <f t="shared" si="17"/>
        <v>0</v>
      </c>
      <c r="G66" s="34">
        <f t="shared" si="18"/>
        <v>0</v>
      </c>
      <c r="H66" s="34">
        <f t="shared" si="18"/>
        <v>0</v>
      </c>
      <c r="I66" s="34">
        <f t="shared" si="19"/>
        <v>0</v>
      </c>
    </row>
    <row r="67" spans="2:13" x14ac:dyDescent="0.2">
      <c r="B67" s="2"/>
      <c r="C67" s="3" t="s">
        <v>72</v>
      </c>
      <c r="D67" s="34">
        <f>0-D144</f>
        <v>0</v>
      </c>
      <c r="E67" s="34">
        <v>0</v>
      </c>
      <c r="F67" s="34">
        <f t="shared" si="17"/>
        <v>0</v>
      </c>
      <c r="G67" s="34">
        <f t="shared" si="18"/>
        <v>0</v>
      </c>
      <c r="H67" s="34">
        <f t="shared" si="18"/>
        <v>0</v>
      </c>
      <c r="I67" s="34">
        <f t="shared" si="19"/>
        <v>0</v>
      </c>
    </row>
    <row r="68" spans="2:13" x14ac:dyDescent="0.2">
      <c r="B68" s="2"/>
      <c r="C68" s="3" t="s">
        <v>73</v>
      </c>
      <c r="D68" s="34">
        <f>1722832-D145</f>
        <v>1722832</v>
      </c>
      <c r="E68" s="34">
        <v>0</v>
      </c>
      <c r="F68" s="34">
        <f t="shared" si="17"/>
        <v>1722832</v>
      </c>
      <c r="G68" s="34">
        <f>2485498.37-G145</f>
        <v>2485498.37</v>
      </c>
      <c r="H68" s="34">
        <f>2485498.37-H145</f>
        <v>2485498.37</v>
      </c>
      <c r="I68" s="34">
        <f t="shared" si="19"/>
        <v>-762666.37000000011</v>
      </c>
    </row>
    <row r="69" spans="2:13" x14ac:dyDescent="0.2">
      <c r="B69" s="2"/>
      <c r="C69" s="3" t="s">
        <v>74</v>
      </c>
      <c r="D69" s="34">
        <f>0-D146</f>
        <v>0</v>
      </c>
      <c r="E69" s="34">
        <v>0</v>
      </c>
      <c r="F69" s="34">
        <f t="shared" si="17"/>
        <v>0</v>
      </c>
      <c r="G69" s="34">
        <f t="shared" ref="G69:H71" si="20">0-G146</f>
        <v>0</v>
      </c>
      <c r="H69" s="34">
        <f t="shared" si="20"/>
        <v>0</v>
      </c>
      <c r="I69" s="34">
        <f t="shared" si="19"/>
        <v>0</v>
      </c>
    </row>
    <row r="70" spans="2:13" x14ac:dyDescent="0.2">
      <c r="B70" s="2"/>
      <c r="C70" s="3" t="s">
        <v>75</v>
      </c>
      <c r="D70" s="34">
        <f>0-D147</f>
        <v>0</v>
      </c>
      <c r="E70" s="34">
        <v>0</v>
      </c>
      <c r="F70" s="34">
        <f t="shared" si="17"/>
        <v>0</v>
      </c>
      <c r="G70" s="34">
        <f t="shared" si="20"/>
        <v>0</v>
      </c>
      <c r="H70" s="34">
        <f t="shared" si="20"/>
        <v>0</v>
      </c>
      <c r="I70" s="34">
        <f t="shared" si="19"/>
        <v>0</v>
      </c>
    </row>
    <row r="71" spans="2:13" x14ac:dyDescent="0.2">
      <c r="B71" s="2"/>
      <c r="C71" s="3" t="s">
        <v>76</v>
      </c>
      <c r="D71" s="34">
        <f>0-D148</f>
        <v>0</v>
      </c>
      <c r="E71" s="34">
        <v>0</v>
      </c>
      <c r="F71" s="34">
        <f t="shared" si="17"/>
        <v>0</v>
      </c>
      <c r="G71" s="34">
        <f t="shared" si="20"/>
        <v>0</v>
      </c>
      <c r="H71" s="34">
        <f t="shared" si="20"/>
        <v>0</v>
      </c>
      <c r="I71" s="34">
        <f t="shared" si="19"/>
        <v>0</v>
      </c>
    </row>
    <row r="72" spans="2:13" x14ac:dyDescent="0.2">
      <c r="B72" s="11" t="s">
        <v>77</v>
      </c>
      <c r="C72" s="12"/>
      <c r="D72" s="31">
        <f t="shared" ref="D72:I72" si="21">SUM(D73:D75)</f>
        <v>31474146.139999997</v>
      </c>
      <c r="E72" s="31">
        <f t="shared" si="21"/>
        <v>0</v>
      </c>
      <c r="F72" s="31">
        <f t="shared" si="21"/>
        <v>31474146.139999997</v>
      </c>
      <c r="G72" s="31">
        <f t="shared" si="21"/>
        <v>8661142.0749999993</v>
      </c>
      <c r="H72" s="31">
        <f t="shared" si="21"/>
        <v>8642249.9249999989</v>
      </c>
      <c r="I72" s="31">
        <f t="shared" si="21"/>
        <v>22813004.064999994</v>
      </c>
    </row>
    <row r="73" spans="2:13" x14ac:dyDescent="0.2">
      <c r="B73" s="2"/>
      <c r="C73" s="3" t="s">
        <v>78</v>
      </c>
      <c r="D73" s="34">
        <f>31566964.9-D150</f>
        <v>31474146.139999997</v>
      </c>
      <c r="E73" s="34">
        <v>0</v>
      </c>
      <c r="F73" s="34">
        <f>+D73+E73</f>
        <v>31474146.139999997</v>
      </c>
      <c r="G73" s="34">
        <f>8661023.293-G150</f>
        <v>8661023.2929999996</v>
      </c>
      <c r="H73" s="34">
        <f>8661023.293-H150</f>
        <v>8661023.2929999996</v>
      </c>
      <c r="I73" s="34">
        <f>+F73-G73</f>
        <v>22813122.846999995</v>
      </c>
      <c r="K73" s="28"/>
    </row>
    <row r="74" spans="2:13" s="35" customFormat="1" x14ac:dyDescent="0.2">
      <c r="B74" s="2"/>
      <c r="C74" s="3" t="s">
        <v>79</v>
      </c>
      <c r="D74" s="34">
        <f>18468992.5-D151</f>
        <v>0</v>
      </c>
      <c r="E74" s="34">
        <v>0</v>
      </c>
      <c r="F74" s="34">
        <f>+D74+E74</f>
        <v>0</v>
      </c>
      <c r="G74" s="34">
        <f>5199829-G151</f>
        <v>118.75</v>
      </c>
      <c r="H74" s="34">
        <f>5180936.9-H151</f>
        <v>-18773.399999999441</v>
      </c>
      <c r="I74" s="34">
        <f>+F74-G74</f>
        <v>-118.75</v>
      </c>
      <c r="J74" s="28"/>
    </row>
    <row r="75" spans="2:13" x14ac:dyDescent="0.2">
      <c r="B75" s="2"/>
      <c r="C75" s="3" t="s">
        <v>80</v>
      </c>
      <c r="D75" s="34">
        <f>0-D152</f>
        <v>0</v>
      </c>
      <c r="E75" s="34">
        <v>0</v>
      </c>
      <c r="F75" s="34">
        <f>+D75+E75</f>
        <v>0</v>
      </c>
      <c r="G75" s="34">
        <f>1309.9-G152</f>
        <v>3.2000000000152795E-2</v>
      </c>
      <c r="H75" s="34">
        <f>1309.9-H152</f>
        <v>3.2000000000152795E-2</v>
      </c>
      <c r="I75" s="34">
        <f>+F75-G75</f>
        <v>-3.2000000000152795E-2</v>
      </c>
      <c r="K75" s="28"/>
    </row>
    <row r="76" spans="2:13" ht="15" x14ac:dyDescent="0.25">
      <c r="B76" s="11" t="s">
        <v>81</v>
      </c>
      <c r="C76" s="12"/>
      <c r="D76" s="31">
        <f t="shared" ref="D76:I76" si="22">SUM(D77:D83)</f>
        <v>10984279.199999999</v>
      </c>
      <c r="E76" s="31">
        <f t="shared" si="22"/>
        <v>0</v>
      </c>
      <c r="F76" s="31">
        <f t="shared" si="22"/>
        <v>10984279.199999999</v>
      </c>
      <c r="G76" s="31">
        <f t="shared" si="22"/>
        <v>7701030.1904399991</v>
      </c>
      <c r="H76" s="31">
        <f t="shared" si="22"/>
        <v>7701030.1904399991</v>
      </c>
      <c r="I76" s="31">
        <f t="shared" si="22"/>
        <v>3283249.0095600002</v>
      </c>
      <c r="K76" s="36"/>
      <c r="L76" s="36"/>
      <c r="M76" s="36"/>
    </row>
    <row r="77" spans="2:13" x14ac:dyDescent="0.2">
      <c r="B77" s="2"/>
      <c r="C77" s="3" t="s">
        <v>82</v>
      </c>
      <c r="D77" s="34">
        <f>522275.5-D154</f>
        <v>522275.5</v>
      </c>
      <c r="E77" s="34">
        <v>0</v>
      </c>
      <c r="F77" s="34">
        <f t="shared" ref="F77:F82" si="23">+D77+E77</f>
        <v>522275.5</v>
      </c>
      <c r="G77" s="34">
        <f>870246.1668-G154</f>
        <v>870246.16680000001</v>
      </c>
      <c r="H77" s="34">
        <f>870246.1668-H154</f>
        <v>870246.16680000001</v>
      </c>
      <c r="I77" s="34">
        <f t="shared" ref="I77:I83" si="24">+F77-G77</f>
        <v>-347970.66680000001</v>
      </c>
      <c r="K77" s="32"/>
      <c r="L77" s="32"/>
      <c r="M77" s="32"/>
    </row>
    <row r="78" spans="2:13" x14ac:dyDescent="0.2">
      <c r="B78" s="2"/>
      <c r="C78" s="3" t="s">
        <v>83</v>
      </c>
      <c r="D78" s="34">
        <f>2936823-D155</f>
        <v>2936823</v>
      </c>
      <c r="E78" s="34">
        <v>0</v>
      </c>
      <c r="F78" s="34">
        <f t="shared" si="23"/>
        <v>2936823</v>
      </c>
      <c r="G78" s="34">
        <f>779696.6803-G155</f>
        <v>714378.68030000001</v>
      </c>
      <c r="H78" s="34">
        <f>779696.6803-H155</f>
        <v>714378.68030000001</v>
      </c>
      <c r="I78" s="34">
        <f t="shared" si="24"/>
        <v>2222444.3196999999</v>
      </c>
      <c r="K78" s="32"/>
      <c r="L78" s="32"/>
      <c r="M78" s="32"/>
    </row>
    <row r="79" spans="2:13" x14ac:dyDescent="0.2">
      <c r="B79" s="2"/>
      <c r="C79" s="3" t="s">
        <v>84</v>
      </c>
      <c r="D79" s="34">
        <f>201200.9-D156</f>
        <v>201200.9</v>
      </c>
      <c r="E79" s="34">
        <v>0</v>
      </c>
      <c r="F79" s="34">
        <f t="shared" si="23"/>
        <v>201200.9</v>
      </c>
      <c r="G79" s="34">
        <f>14414.65374-G156</f>
        <v>14414.65374</v>
      </c>
      <c r="H79" s="34">
        <f>14414.65374-H156</f>
        <v>14414.65374</v>
      </c>
      <c r="I79" s="34">
        <f t="shared" si="24"/>
        <v>186786.24625999999</v>
      </c>
      <c r="K79" s="32"/>
      <c r="L79" s="32"/>
      <c r="M79" s="32"/>
    </row>
    <row r="80" spans="2:13" x14ac:dyDescent="0.2">
      <c r="B80" s="2"/>
      <c r="C80" s="3" t="s">
        <v>85</v>
      </c>
      <c r="D80" s="34">
        <f>210000-D157</f>
        <v>210000</v>
      </c>
      <c r="E80" s="34">
        <v>0</v>
      </c>
      <c r="F80" s="34">
        <f t="shared" si="23"/>
        <v>210000</v>
      </c>
      <c r="G80" s="34">
        <f>0-G157</f>
        <v>0</v>
      </c>
      <c r="H80" s="34">
        <f>0-H157</f>
        <v>0</v>
      </c>
      <c r="I80" s="34">
        <f t="shared" si="24"/>
        <v>210000</v>
      </c>
      <c r="K80" s="32"/>
      <c r="L80" s="32"/>
      <c r="M80" s="32"/>
    </row>
    <row r="81" spans="2:14" x14ac:dyDescent="0.2">
      <c r="B81" s="2"/>
      <c r="C81" s="3" t="s">
        <v>86</v>
      </c>
      <c r="D81" s="34">
        <f>671475.4-D158</f>
        <v>671475.4</v>
      </c>
      <c r="E81" s="34">
        <v>0</v>
      </c>
      <c r="F81" s="34">
        <f>+D81+E81</f>
        <v>671475.4</v>
      </c>
      <c r="G81" s="34">
        <f>140571.3896-G158</f>
        <v>140571.38959999999</v>
      </c>
      <c r="H81" s="34">
        <f>140571.3896-H158</f>
        <v>140571.38959999999</v>
      </c>
      <c r="I81" s="34">
        <f t="shared" si="24"/>
        <v>530904.01040000003</v>
      </c>
      <c r="K81" s="32"/>
      <c r="L81" s="32"/>
      <c r="M81" s="32"/>
    </row>
    <row r="82" spans="2:14" x14ac:dyDescent="0.2">
      <c r="B82" s="2"/>
      <c r="C82" s="3" t="s">
        <v>87</v>
      </c>
      <c r="D82" s="34">
        <f>0-D159</f>
        <v>0</v>
      </c>
      <c r="E82" s="34">
        <v>0</v>
      </c>
      <c r="F82" s="34">
        <f t="shared" si="23"/>
        <v>0</v>
      </c>
      <c r="G82" s="34">
        <f>0-G159</f>
        <v>0</v>
      </c>
      <c r="H82" s="34">
        <f>0-H159</f>
        <v>0</v>
      </c>
      <c r="I82" s="34">
        <f t="shared" si="24"/>
        <v>0</v>
      </c>
      <c r="K82" s="32"/>
      <c r="L82" s="32"/>
      <c r="M82" s="32"/>
    </row>
    <row r="83" spans="2:14" x14ac:dyDescent="0.2">
      <c r="B83" s="2"/>
      <c r="C83" s="3" t="s">
        <v>88</v>
      </c>
      <c r="D83" s="34">
        <v>6442504.4000000004</v>
      </c>
      <c r="E83" s="34">
        <v>0</v>
      </c>
      <c r="F83" s="34">
        <f>+D83+E83</f>
        <v>6442504.4000000004</v>
      </c>
      <c r="G83" s="34">
        <f>2700000+3261419.3</f>
        <v>5961419.2999999998</v>
      </c>
      <c r="H83" s="34">
        <f>2700000+3261419.3</f>
        <v>5961419.2999999998</v>
      </c>
      <c r="I83" s="34">
        <f t="shared" si="24"/>
        <v>481085.10000000056</v>
      </c>
      <c r="K83" s="32"/>
      <c r="L83" s="32"/>
      <c r="M83" s="32"/>
    </row>
    <row r="84" spans="2:14" x14ac:dyDescent="0.2">
      <c r="B84" s="4"/>
      <c r="C84" s="5"/>
      <c r="D84" s="37"/>
      <c r="E84" s="37"/>
      <c r="F84" s="37"/>
      <c r="G84" s="37"/>
      <c r="H84" s="37"/>
      <c r="I84" s="37"/>
    </row>
    <row r="85" spans="2:14" x14ac:dyDescent="0.2">
      <c r="B85" s="6"/>
      <c r="C85" s="6"/>
      <c r="D85" s="33"/>
      <c r="E85" s="33"/>
      <c r="F85" s="33"/>
      <c r="G85" s="33"/>
      <c r="H85" s="33"/>
      <c r="I85" s="33"/>
    </row>
    <row r="86" spans="2:14" x14ac:dyDescent="0.2">
      <c r="B86" s="7"/>
      <c r="C86" s="8"/>
      <c r="D86" s="38"/>
      <c r="E86" s="38"/>
      <c r="F86" s="38"/>
      <c r="G86" s="38"/>
      <c r="H86" s="38"/>
      <c r="I86" s="38"/>
    </row>
    <row r="87" spans="2:14" x14ac:dyDescent="0.2">
      <c r="B87" s="11" t="s">
        <v>89</v>
      </c>
      <c r="C87" s="12"/>
      <c r="D87" s="31">
        <f t="shared" ref="D87:I87" si="25">+D88+D96+D106+D116+D126+D136+D140+D149+D153</f>
        <v>93111161.810000017</v>
      </c>
      <c r="E87" s="31">
        <f t="shared" si="25"/>
        <v>0</v>
      </c>
      <c r="F87" s="31">
        <f t="shared" si="25"/>
        <v>93111161.810000017</v>
      </c>
      <c r="G87" s="31">
        <f>+G88+G96+G106+G116+G126+G136+G140+G149+G153</f>
        <v>20958914.261269998</v>
      </c>
      <c r="H87" s="31">
        <f t="shared" si="25"/>
        <v>20958914.311269999</v>
      </c>
      <c r="I87" s="31">
        <f t="shared" si="25"/>
        <v>72152247.548730001</v>
      </c>
      <c r="K87" s="28"/>
    </row>
    <row r="88" spans="2:14" x14ac:dyDescent="0.2">
      <c r="B88" s="11" t="s">
        <v>16</v>
      </c>
      <c r="C88" s="12"/>
      <c r="D88" s="31">
        <f>SUM(D89:D95)</f>
        <v>11528448.700000001</v>
      </c>
      <c r="E88" s="31">
        <f t="shared" ref="E88:I88" si="26">SUM(E89:E95)</f>
        <v>0</v>
      </c>
      <c r="F88" s="31">
        <f t="shared" si="26"/>
        <v>11528448.700000001</v>
      </c>
      <c r="G88" s="31">
        <f t="shared" si="26"/>
        <v>2993705.2261599996</v>
      </c>
      <c r="H88" s="31">
        <f t="shared" si="26"/>
        <v>2993705.2261599996</v>
      </c>
      <c r="I88" s="31">
        <f t="shared" si="26"/>
        <v>8534743.4738400001</v>
      </c>
      <c r="K88" s="28"/>
    </row>
    <row r="89" spans="2:14" x14ac:dyDescent="0.2">
      <c r="B89" s="2"/>
      <c r="C89" s="3" t="s">
        <v>17</v>
      </c>
      <c r="D89" s="34">
        <f>3072716.2+4659339.4</f>
        <v>7732055.6000000006</v>
      </c>
      <c r="E89" s="34">
        <v>0</v>
      </c>
      <c r="F89" s="34">
        <f t="shared" ref="F89:F95" si="27">+D89+E89</f>
        <v>7732055.6000000006</v>
      </c>
      <c r="G89" s="34">
        <v>2399113.5061599999</v>
      </c>
      <c r="H89" s="34">
        <v>2399113.5061599999</v>
      </c>
      <c r="I89" s="34">
        <f t="shared" ref="I89:I95" si="28">+F89-G89</f>
        <v>5332942.0938400012</v>
      </c>
      <c r="K89" s="28"/>
      <c r="L89" s="28"/>
      <c r="M89" s="32"/>
      <c r="N89" s="32"/>
    </row>
    <row r="90" spans="2:14" x14ac:dyDescent="0.2">
      <c r="B90" s="2"/>
      <c r="C90" s="3" t="s">
        <v>18</v>
      </c>
      <c r="D90" s="34">
        <v>0</v>
      </c>
      <c r="E90" s="34">
        <v>0</v>
      </c>
      <c r="F90" s="34">
        <f t="shared" si="27"/>
        <v>0</v>
      </c>
      <c r="G90" s="34">
        <v>0</v>
      </c>
      <c r="H90" s="34">
        <f>+G90</f>
        <v>0</v>
      </c>
      <c r="I90" s="34">
        <f t="shared" si="28"/>
        <v>0</v>
      </c>
      <c r="K90" s="39"/>
      <c r="M90" s="32"/>
      <c r="N90" s="32"/>
    </row>
    <row r="91" spans="2:14" x14ac:dyDescent="0.2">
      <c r="B91" s="2"/>
      <c r="C91" s="3" t="s">
        <v>19</v>
      </c>
      <c r="D91" s="34">
        <v>1888350.5</v>
      </c>
      <c r="E91" s="34">
        <v>0</v>
      </c>
      <c r="F91" s="34">
        <f t="shared" si="27"/>
        <v>1888350.5</v>
      </c>
      <c r="G91" s="34">
        <v>317052.96000000002</v>
      </c>
      <c r="H91" s="34">
        <f>+G91</f>
        <v>317052.96000000002</v>
      </c>
      <c r="I91" s="34">
        <f t="shared" si="28"/>
        <v>1571297.54</v>
      </c>
      <c r="K91" s="40"/>
      <c r="M91" s="32"/>
      <c r="N91" s="32"/>
    </row>
    <row r="92" spans="2:14" x14ac:dyDescent="0.2">
      <c r="B92" s="2"/>
      <c r="C92" s="3" t="s">
        <v>20</v>
      </c>
      <c r="D92" s="34">
        <v>622657.9</v>
      </c>
      <c r="E92" s="34">
        <v>0</v>
      </c>
      <c r="F92" s="34">
        <f t="shared" si="27"/>
        <v>622657.9</v>
      </c>
      <c r="G92" s="34">
        <v>177666.34</v>
      </c>
      <c r="H92" s="34">
        <f>+G92</f>
        <v>177666.34</v>
      </c>
      <c r="I92" s="34">
        <f t="shared" si="28"/>
        <v>444991.56000000006</v>
      </c>
      <c r="K92" s="40"/>
      <c r="M92" s="32"/>
      <c r="N92" s="32"/>
    </row>
    <row r="93" spans="2:14" x14ac:dyDescent="0.2">
      <c r="B93" s="2"/>
      <c r="C93" s="3" t="s">
        <v>21</v>
      </c>
      <c r="D93" s="34">
        <v>1285384.7</v>
      </c>
      <c r="E93" s="34">
        <v>0</v>
      </c>
      <c r="F93" s="34">
        <f t="shared" si="27"/>
        <v>1285384.7</v>
      </c>
      <c r="G93" s="34">
        <v>99872.42</v>
      </c>
      <c r="H93" s="34">
        <f>+G93</f>
        <v>99872.42</v>
      </c>
      <c r="I93" s="34">
        <f t="shared" si="28"/>
        <v>1185512.28</v>
      </c>
      <c r="K93" s="28"/>
      <c r="M93" s="32"/>
      <c r="N93" s="32"/>
    </row>
    <row r="94" spans="2:14" x14ac:dyDescent="0.2">
      <c r="B94" s="2"/>
      <c r="C94" s="3" t="s">
        <v>22</v>
      </c>
      <c r="D94" s="34">
        <v>0</v>
      </c>
      <c r="E94" s="34">
        <v>0</v>
      </c>
      <c r="F94" s="34">
        <f t="shared" si="27"/>
        <v>0</v>
      </c>
      <c r="G94" s="34">
        <v>0</v>
      </c>
      <c r="H94" s="34">
        <v>0</v>
      </c>
      <c r="I94" s="34">
        <f t="shared" si="28"/>
        <v>0</v>
      </c>
      <c r="K94" s="28"/>
      <c r="M94" s="32"/>
      <c r="N94" s="32"/>
    </row>
    <row r="95" spans="2:14" x14ac:dyDescent="0.2">
      <c r="B95" s="2"/>
      <c r="C95" s="3" t="s">
        <v>23</v>
      </c>
      <c r="D95" s="34">
        <v>0</v>
      </c>
      <c r="E95" s="34">
        <v>0</v>
      </c>
      <c r="F95" s="34">
        <f t="shared" si="27"/>
        <v>0</v>
      </c>
      <c r="G95" s="34">
        <v>0</v>
      </c>
      <c r="H95" s="34">
        <f>+G95</f>
        <v>0</v>
      </c>
      <c r="I95" s="34">
        <f t="shared" si="28"/>
        <v>0</v>
      </c>
      <c r="K95" s="28"/>
      <c r="M95" s="32"/>
      <c r="N95" s="32"/>
    </row>
    <row r="96" spans="2:14" x14ac:dyDescent="0.2">
      <c r="B96" s="11" t="s">
        <v>24</v>
      </c>
      <c r="C96" s="12"/>
      <c r="D96" s="31">
        <f t="shared" ref="D96:I96" si="29">SUM(D97:D105)</f>
        <v>1816.63</v>
      </c>
      <c r="E96" s="31">
        <f t="shared" si="29"/>
        <v>0</v>
      </c>
      <c r="F96" s="31">
        <f t="shared" si="29"/>
        <v>1816.63</v>
      </c>
      <c r="G96" s="31">
        <f t="shared" si="29"/>
        <v>0</v>
      </c>
      <c r="H96" s="31">
        <f t="shared" si="29"/>
        <v>0</v>
      </c>
      <c r="I96" s="31">
        <f t="shared" si="29"/>
        <v>1816.63</v>
      </c>
      <c r="K96" s="28"/>
      <c r="M96" s="32"/>
      <c r="N96" s="32"/>
    </row>
    <row r="97" spans="2:11" x14ac:dyDescent="0.2">
      <c r="B97" s="2"/>
      <c r="C97" s="3" t="s">
        <v>25</v>
      </c>
      <c r="D97" s="34">
        <v>985.5</v>
      </c>
      <c r="E97" s="34">
        <v>0</v>
      </c>
      <c r="F97" s="34">
        <f t="shared" ref="F97:F105" si="30">+D97+E97</f>
        <v>985.5</v>
      </c>
      <c r="G97" s="34">
        <v>0</v>
      </c>
      <c r="H97" s="34">
        <f t="shared" ref="H97:H105" si="31">G97</f>
        <v>0</v>
      </c>
      <c r="I97" s="34">
        <f t="shared" ref="I97:I105" si="32">+F97-G97</f>
        <v>985.5</v>
      </c>
      <c r="K97" s="28"/>
    </row>
    <row r="98" spans="2:11" x14ac:dyDescent="0.2">
      <c r="B98" s="2"/>
      <c r="C98" s="3" t="s">
        <v>26</v>
      </c>
      <c r="D98" s="34">
        <v>244.5</v>
      </c>
      <c r="E98" s="34">
        <v>0</v>
      </c>
      <c r="F98" s="34">
        <f t="shared" si="30"/>
        <v>244.5</v>
      </c>
      <c r="G98" s="34">
        <v>0</v>
      </c>
      <c r="H98" s="34">
        <f t="shared" si="31"/>
        <v>0</v>
      </c>
      <c r="I98" s="34">
        <f t="shared" si="32"/>
        <v>244.5</v>
      </c>
      <c r="K98" s="28"/>
    </row>
    <row r="99" spans="2:11" x14ac:dyDescent="0.2">
      <c r="B99" s="2"/>
      <c r="C99" s="3" t="s">
        <v>27</v>
      </c>
      <c r="D99" s="34">
        <v>0</v>
      </c>
      <c r="E99" s="34">
        <v>0</v>
      </c>
      <c r="F99" s="34">
        <f t="shared" si="30"/>
        <v>0</v>
      </c>
      <c r="G99" s="34">
        <v>0</v>
      </c>
      <c r="H99" s="34">
        <f t="shared" si="31"/>
        <v>0</v>
      </c>
      <c r="I99" s="34">
        <f t="shared" si="32"/>
        <v>0</v>
      </c>
      <c r="K99" s="28"/>
    </row>
    <row r="100" spans="2:11" x14ac:dyDescent="0.2">
      <c r="B100" s="2"/>
      <c r="C100" s="3" t="s">
        <v>28</v>
      </c>
      <c r="D100" s="34">
        <v>4</v>
      </c>
      <c r="E100" s="34">
        <v>0</v>
      </c>
      <c r="F100" s="34">
        <f t="shared" si="30"/>
        <v>4</v>
      </c>
      <c r="G100" s="34">
        <v>0</v>
      </c>
      <c r="H100" s="34">
        <f t="shared" si="31"/>
        <v>0</v>
      </c>
      <c r="I100" s="34">
        <f t="shared" si="32"/>
        <v>4</v>
      </c>
      <c r="K100" s="28"/>
    </row>
    <row r="101" spans="2:11" x14ac:dyDescent="0.2">
      <c r="B101" s="2"/>
      <c r="C101" s="3" t="s">
        <v>29</v>
      </c>
      <c r="D101" s="34">
        <v>89.93</v>
      </c>
      <c r="E101" s="34">
        <v>0</v>
      </c>
      <c r="F101" s="34">
        <f t="shared" si="30"/>
        <v>89.93</v>
      </c>
      <c r="G101" s="34">
        <v>0</v>
      </c>
      <c r="H101" s="34">
        <f t="shared" si="31"/>
        <v>0</v>
      </c>
      <c r="I101" s="34">
        <f t="shared" si="32"/>
        <v>89.93</v>
      </c>
      <c r="K101" s="28"/>
    </row>
    <row r="102" spans="2:11" x14ac:dyDescent="0.2">
      <c r="B102" s="2"/>
      <c r="C102" s="3" t="s">
        <v>30</v>
      </c>
      <c r="D102" s="34">
        <v>0</v>
      </c>
      <c r="E102" s="34">
        <v>0</v>
      </c>
      <c r="F102" s="34">
        <f t="shared" si="30"/>
        <v>0</v>
      </c>
      <c r="G102" s="34">
        <v>0</v>
      </c>
      <c r="H102" s="34">
        <f t="shared" si="31"/>
        <v>0</v>
      </c>
      <c r="I102" s="34">
        <f t="shared" si="32"/>
        <v>0</v>
      </c>
      <c r="K102" s="28"/>
    </row>
    <row r="103" spans="2:11" x14ac:dyDescent="0.2">
      <c r="B103" s="2"/>
      <c r="C103" s="3" t="s">
        <v>31</v>
      </c>
      <c r="D103" s="34">
        <v>492.7</v>
      </c>
      <c r="E103" s="34">
        <v>0</v>
      </c>
      <c r="F103" s="34">
        <f t="shared" si="30"/>
        <v>492.7</v>
      </c>
      <c r="G103" s="34">
        <v>0</v>
      </c>
      <c r="H103" s="34">
        <f t="shared" si="31"/>
        <v>0</v>
      </c>
      <c r="I103" s="34">
        <f t="shared" si="32"/>
        <v>492.7</v>
      </c>
      <c r="K103" s="28"/>
    </row>
    <row r="104" spans="2:11" x14ac:dyDescent="0.2">
      <c r="B104" s="2"/>
      <c r="C104" s="3" t="s">
        <v>32</v>
      </c>
      <c r="D104" s="34">
        <v>0</v>
      </c>
      <c r="E104" s="34">
        <v>0</v>
      </c>
      <c r="F104" s="34">
        <f t="shared" si="30"/>
        <v>0</v>
      </c>
      <c r="G104" s="34">
        <v>0</v>
      </c>
      <c r="H104" s="34">
        <f t="shared" si="31"/>
        <v>0</v>
      </c>
      <c r="I104" s="34">
        <f t="shared" si="32"/>
        <v>0</v>
      </c>
      <c r="K104" s="28"/>
    </row>
    <row r="105" spans="2:11" x14ac:dyDescent="0.2">
      <c r="B105" s="2"/>
      <c r="C105" s="3" t="s">
        <v>33</v>
      </c>
      <c r="D105" s="34">
        <v>0</v>
      </c>
      <c r="E105" s="34">
        <v>0</v>
      </c>
      <c r="F105" s="34">
        <f t="shared" si="30"/>
        <v>0</v>
      </c>
      <c r="G105" s="34">
        <v>0</v>
      </c>
      <c r="H105" s="34">
        <f t="shared" si="31"/>
        <v>0</v>
      </c>
      <c r="I105" s="34">
        <f t="shared" si="32"/>
        <v>0</v>
      </c>
      <c r="K105" s="28"/>
    </row>
    <row r="106" spans="2:11" x14ac:dyDescent="0.2">
      <c r="B106" s="11" t="s">
        <v>34</v>
      </c>
      <c r="C106" s="12"/>
      <c r="D106" s="31">
        <f t="shared" ref="D106:I106" si="33">SUM(D107:D115)</f>
        <v>26977.8</v>
      </c>
      <c r="E106" s="31">
        <f t="shared" si="33"/>
        <v>0</v>
      </c>
      <c r="F106" s="31">
        <f t="shared" si="33"/>
        <v>26977.8</v>
      </c>
      <c r="G106" s="31">
        <f t="shared" si="33"/>
        <v>0</v>
      </c>
      <c r="H106" s="31">
        <f t="shared" si="33"/>
        <v>0</v>
      </c>
      <c r="I106" s="31">
        <f t="shared" si="33"/>
        <v>26977.8</v>
      </c>
      <c r="K106" s="28"/>
    </row>
    <row r="107" spans="2:11" x14ac:dyDescent="0.2">
      <c r="B107" s="2"/>
      <c r="C107" s="3" t="s">
        <v>35</v>
      </c>
      <c r="D107" s="34">
        <v>10.3</v>
      </c>
      <c r="E107" s="34">
        <v>0</v>
      </c>
      <c r="F107" s="34">
        <f t="shared" ref="F107:F115" si="34">+D107+E107</f>
        <v>10.3</v>
      </c>
      <c r="G107" s="34">
        <v>0</v>
      </c>
      <c r="H107" s="34">
        <v>0</v>
      </c>
      <c r="I107" s="34">
        <f t="shared" ref="I107:I115" si="35">+F107-G107</f>
        <v>10.3</v>
      </c>
      <c r="K107" s="28"/>
    </row>
    <row r="108" spans="2:11" x14ac:dyDescent="0.2">
      <c r="B108" s="2"/>
      <c r="C108" s="3" t="s">
        <v>36</v>
      </c>
      <c r="D108" s="34">
        <v>90</v>
      </c>
      <c r="E108" s="34">
        <v>0</v>
      </c>
      <c r="F108" s="34">
        <f t="shared" si="34"/>
        <v>90</v>
      </c>
      <c r="G108" s="34">
        <v>0</v>
      </c>
      <c r="H108" s="34">
        <v>0</v>
      </c>
      <c r="I108" s="34">
        <f t="shared" si="35"/>
        <v>90</v>
      </c>
      <c r="K108" s="28"/>
    </row>
    <row r="109" spans="2:11" x14ac:dyDescent="0.2">
      <c r="B109" s="2"/>
      <c r="C109" s="3" t="s">
        <v>37</v>
      </c>
      <c r="D109" s="34">
        <v>26860.5</v>
      </c>
      <c r="E109" s="34">
        <v>0</v>
      </c>
      <c r="F109" s="34">
        <f t="shared" si="34"/>
        <v>26860.5</v>
      </c>
      <c r="G109" s="34">
        <v>0</v>
      </c>
      <c r="H109" s="34">
        <v>0</v>
      </c>
      <c r="I109" s="34">
        <f t="shared" si="35"/>
        <v>26860.5</v>
      </c>
      <c r="K109" s="28"/>
    </row>
    <row r="110" spans="2:11" x14ac:dyDescent="0.2">
      <c r="B110" s="2"/>
      <c r="C110" s="3" t="s">
        <v>38</v>
      </c>
      <c r="D110" s="34">
        <v>0</v>
      </c>
      <c r="E110" s="34">
        <v>0</v>
      </c>
      <c r="F110" s="34">
        <f t="shared" si="34"/>
        <v>0</v>
      </c>
      <c r="G110" s="34">
        <v>0</v>
      </c>
      <c r="H110" s="34">
        <f t="shared" ref="H110:H114" si="36">G110</f>
        <v>0</v>
      </c>
      <c r="I110" s="34">
        <f t="shared" si="35"/>
        <v>0</v>
      </c>
      <c r="K110" s="28"/>
    </row>
    <row r="111" spans="2:11" x14ac:dyDescent="0.2">
      <c r="B111" s="2"/>
      <c r="C111" s="3" t="s">
        <v>39</v>
      </c>
      <c r="D111" s="34">
        <v>0</v>
      </c>
      <c r="E111" s="34">
        <v>0</v>
      </c>
      <c r="F111" s="34">
        <f t="shared" si="34"/>
        <v>0</v>
      </c>
      <c r="G111" s="34">
        <v>0</v>
      </c>
      <c r="H111" s="34">
        <v>0</v>
      </c>
      <c r="I111" s="34">
        <f t="shared" si="35"/>
        <v>0</v>
      </c>
      <c r="K111" s="28"/>
    </row>
    <row r="112" spans="2:11" x14ac:dyDescent="0.2">
      <c r="B112" s="2"/>
      <c r="C112" s="3" t="s">
        <v>40</v>
      </c>
      <c r="D112" s="34">
        <v>0</v>
      </c>
      <c r="E112" s="34">
        <v>0</v>
      </c>
      <c r="F112" s="34">
        <f t="shared" si="34"/>
        <v>0</v>
      </c>
      <c r="G112" s="34">
        <v>0</v>
      </c>
      <c r="H112" s="34">
        <f t="shared" si="36"/>
        <v>0</v>
      </c>
      <c r="I112" s="34">
        <f t="shared" si="35"/>
        <v>0</v>
      </c>
      <c r="K112" s="28"/>
    </row>
    <row r="113" spans="2:11" x14ac:dyDescent="0.2">
      <c r="B113" s="2"/>
      <c r="C113" s="3" t="s">
        <v>41</v>
      </c>
      <c r="D113" s="34">
        <v>17</v>
      </c>
      <c r="E113" s="34">
        <v>0</v>
      </c>
      <c r="F113" s="34">
        <f t="shared" si="34"/>
        <v>17</v>
      </c>
      <c r="G113" s="34">
        <v>0</v>
      </c>
      <c r="H113" s="34">
        <f t="shared" si="36"/>
        <v>0</v>
      </c>
      <c r="I113" s="34">
        <f t="shared" si="35"/>
        <v>17</v>
      </c>
      <c r="K113" s="28"/>
    </row>
    <row r="114" spans="2:11" x14ac:dyDescent="0.2">
      <c r="B114" s="2"/>
      <c r="C114" s="3" t="s">
        <v>42</v>
      </c>
      <c r="D114" s="34">
        <v>0</v>
      </c>
      <c r="E114" s="34">
        <v>0</v>
      </c>
      <c r="F114" s="34">
        <f t="shared" si="34"/>
        <v>0</v>
      </c>
      <c r="G114" s="34">
        <v>0</v>
      </c>
      <c r="H114" s="34">
        <f t="shared" si="36"/>
        <v>0</v>
      </c>
      <c r="I114" s="34">
        <f t="shared" si="35"/>
        <v>0</v>
      </c>
      <c r="K114" s="28"/>
    </row>
    <row r="115" spans="2:11" x14ac:dyDescent="0.2">
      <c r="B115" s="2"/>
      <c r="C115" s="3" t="s">
        <v>43</v>
      </c>
      <c r="D115" s="34">
        <v>0</v>
      </c>
      <c r="E115" s="34">
        <v>0</v>
      </c>
      <c r="F115" s="34">
        <f t="shared" si="34"/>
        <v>0</v>
      </c>
      <c r="G115" s="34">
        <v>0</v>
      </c>
      <c r="H115" s="34">
        <v>0</v>
      </c>
      <c r="I115" s="34">
        <f t="shared" si="35"/>
        <v>0</v>
      </c>
      <c r="K115" s="28"/>
    </row>
    <row r="116" spans="2:11" x14ac:dyDescent="0.2">
      <c r="B116" s="11" t="s">
        <v>44</v>
      </c>
      <c r="C116" s="12"/>
      <c r="D116" s="31">
        <f t="shared" ref="D116:I116" si="37">SUM(D117:D125)</f>
        <v>58787722.400000006</v>
      </c>
      <c r="E116" s="31">
        <f t="shared" si="37"/>
        <v>0</v>
      </c>
      <c r="F116" s="31">
        <f t="shared" si="37"/>
        <v>58787722.400000006</v>
      </c>
      <c r="G116" s="31">
        <f t="shared" si="37"/>
        <v>11505162.290109999</v>
      </c>
      <c r="H116" s="31">
        <f t="shared" si="37"/>
        <v>11505162.290109999</v>
      </c>
      <c r="I116" s="31">
        <f t="shared" si="37"/>
        <v>47282560.109889999</v>
      </c>
      <c r="K116" s="28"/>
    </row>
    <row r="117" spans="2:11" x14ac:dyDescent="0.2">
      <c r="B117" s="2"/>
      <c r="C117" s="3" t="s">
        <v>45</v>
      </c>
      <c r="D117" s="34">
        <v>0</v>
      </c>
      <c r="E117" s="34">
        <v>0</v>
      </c>
      <c r="F117" s="34">
        <f t="shared" ref="F117:F135" si="38">+D117+E117</f>
        <v>0</v>
      </c>
      <c r="G117" s="34">
        <v>489318.94</v>
      </c>
      <c r="H117" s="34">
        <f t="shared" ref="H117:H121" si="39">+G117</f>
        <v>489318.94</v>
      </c>
      <c r="I117" s="34">
        <f t="shared" ref="I117:I160" si="40">+F117-G117</f>
        <v>-489318.94</v>
      </c>
      <c r="K117" s="28"/>
    </row>
    <row r="118" spans="2:11" x14ac:dyDescent="0.2">
      <c r="B118" s="2"/>
      <c r="C118" s="3" t="s">
        <v>46</v>
      </c>
      <c r="D118" s="34">
        <v>0</v>
      </c>
      <c r="E118" s="34">
        <v>0</v>
      </c>
      <c r="F118" s="34">
        <f t="shared" si="38"/>
        <v>0</v>
      </c>
      <c r="G118" s="34">
        <v>0</v>
      </c>
      <c r="H118" s="34">
        <f t="shared" si="39"/>
        <v>0</v>
      </c>
      <c r="I118" s="34">
        <f t="shared" si="40"/>
        <v>0</v>
      </c>
      <c r="K118" s="28"/>
    </row>
    <row r="119" spans="2:11" x14ac:dyDescent="0.2">
      <c r="B119" s="2"/>
      <c r="C119" s="3" t="s">
        <v>47</v>
      </c>
      <c r="D119" s="34">
        <v>607.29999999999995</v>
      </c>
      <c r="E119" s="34">
        <v>0</v>
      </c>
      <c r="F119" s="34">
        <f t="shared" si="38"/>
        <v>607.29999999999995</v>
      </c>
      <c r="G119" s="34">
        <v>0</v>
      </c>
      <c r="H119" s="34">
        <f t="shared" si="39"/>
        <v>0</v>
      </c>
      <c r="I119" s="34">
        <f t="shared" si="40"/>
        <v>607.29999999999995</v>
      </c>
      <c r="K119" s="28"/>
    </row>
    <row r="120" spans="2:11" x14ac:dyDescent="0.2">
      <c r="B120" s="2"/>
      <c r="C120" s="3" t="s">
        <v>48</v>
      </c>
      <c r="D120" s="34">
        <v>469.4</v>
      </c>
      <c r="E120" s="34">
        <v>0</v>
      </c>
      <c r="F120" s="34">
        <f>+D120+E120</f>
        <v>469.4</v>
      </c>
      <c r="G120" s="34">
        <v>0</v>
      </c>
      <c r="H120" s="34">
        <f t="shared" si="39"/>
        <v>0</v>
      </c>
      <c r="I120" s="34">
        <f t="shared" si="40"/>
        <v>469.4</v>
      </c>
      <c r="K120" s="28"/>
    </row>
    <row r="121" spans="2:11" x14ac:dyDescent="0.2">
      <c r="B121" s="2"/>
      <c r="C121" s="3" t="s">
        <v>49</v>
      </c>
      <c r="D121" s="34">
        <v>0</v>
      </c>
      <c r="E121" s="34">
        <v>0</v>
      </c>
      <c r="F121" s="34">
        <f t="shared" si="38"/>
        <v>0</v>
      </c>
      <c r="G121" s="34">
        <v>0</v>
      </c>
      <c r="H121" s="34">
        <f t="shared" si="39"/>
        <v>0</v>
      </c>
      <c r="I121" s="34">
        <f t="shared" si="40"/>
        <v>0</v>
      </c>
      <c r="K121" s="28"/>
    </row>
    <row r="122" spans="2:11" x14ac:dyDescent="0.2">
      <c r="B122" s="2"/>
      <c r="C122" s="3" t="s">
        <v>50</v>
      </c>
      <c r="D122" s="34">
        <v>58786645.700000003</v>
      </c>
      <c r="E122" s="34">
        <v>0</v>
      </c>
      <c r="F122" s="34">
        <f>+D122+E122</f>
        <v>58786645.700000003</v>
      </c>
      <c r="G122" s="34">
        <v>11015843.35011</v>
      </c>
      <c r="H122" s="34">
        <v>11015843.35011</v>
      </c>
      <c r="I122" s="34">
        <f t="shared" si="40"/>
        <v>47770802.349890001</v>
      </c>
      <c r="K122" s="28"/>
    </row>
    <row r="123" spans="2:11" x14ac:dyDescent="0.2">
      <c r="B123" s="2"/>
      <c r="C123" s="3" t="s">
        <v>51</v>
      </c>
      <c r="D123" s="34">
        <v>0</v>
      </c>
      <c r="E123" s="34">
        <v>0</v>
      </c>
      <c r="F123" s="34">
        <f t="shared" si="38"/>
        <v>0</v>
      </c>
      <c r="G123" s="34">
        <v>0</v>
      </c>
      <c r="H123" s="34">
        <v>0</v>
      </c>
      <c r="I123" s="34">
        <f t="shared" si="40"/>
        <v>0</v>
      </c>
      <c r="K123" s="28"/>
    </row>
    <row r="124" spans="2:11" x14ac:dyDescent="0.2">
      <c r="B124" s="2"/>
      <c r="C124" s="3" t="s">
        <v>52</v>
      </c>
      <c r="D124" s="34">
        <v>0</v>
      </c>
      <c r="E124" s="34">
        <v>0</v>
      </c>
      <c r="F124" s="34">
        <f t="shared" si="38"/>
        <v>0</v>
      </c>
      <c r="G124" s="34">
        <v>0</v>
      </c>
      <c r="H124" s="34">
        <v>0</v>
      </c>
      <c r="I124" s="34">
        <f t="shared" si="40"/>
        <v>0</v>
      </c>
      <c r="K124" s="28"/>
    </row>
    <row r="125" spans="2:11" x14ac:dyDescent="0.2">
      <c r="B125" s="2"/>
      <c r="C125" s="3" t="s">
        <v>53</v>
      </c>
      <c r="D125" s="34">
        <v>0</v>
      </c>
      <c r="E125" s="34">
        <v>0</v>
      </c>
      <c r="F125" s="34">
        <f t="shared" si="38"/>
        <v>0</v>
      </c>
      <c r="G125" s="34">
        <v>0</v>
      </c>
      <c r="H125" s="34">
        <v>0</v>
      </c>
      <c r="I125" s="34">
        <f t="shared" si="40"/>
        <v>0</v>
      </c>
      <c r="K125" s="28"/>
    </row>
    <row r="126" spans="2:11" x14ac:dyDescent="0.2">
      <c r="B126" s="11" t="s">
        <v>54</v>
      </c>
      <c r="C126" s="12"/>
      <c r="D126" s="31">
        <f>SUM(D127:D135)</f>
        <v>1483.6200000000001</v>
      </c>
      <c r="E126" s="31">
        <f>SUM(E127:E135)</f>
        <v>0</v>
      </c>
      <c r="F126" s="31">
        <f t="shared" si="38"/>
        <v>1483.6200000000001</v>
      </c>
      <c r="G126" s="31">
        <f>SUM(G127:G135)</f>
        <v>0</v>
      </c>
      <c r="H126" s="31">
        <f>SUM(H127:H135)</f>
        <v>0</v>
      </c>
      <c r="I126" s="31">
        <f t="shared" si="40"/>
        <v>1483.6200000000001</v>
      </c>
      <c r="K126" s="28"/>
    </row>
    <row r="127" spans="2:11" x14ac:dyDescent="0.2">
      <c r="B127" s="2"/>
      <c r="C127" s="3" t="s">
        <v>55</v>
      </c>
      <c r="D127" s="34">
        <v>1099.52</v>
      </c>
      <c r="E127" s="34">
        <v>0</v>
      </c>
      <c r="F127" s="34">
        <f t="shared" si="38"/>
        <v>1099.52</v>
      </c>
      <c r="G127" s="34">
        <v>0</v>
      </c>
      <c r="H127" s="34">
        <v>0</v>
      </c>
      <c r="I127" s="34">
        <f t="shared" si="40"/>
        <v>1099.52</v>
      </c>
      <c r="K127" s="28"/>
    </row>
    <row r="128" spans="2:11" x14ac:dyDescent="0.2">
      <c r="B128" s="2"/>
      <c r="C128" s="3" t="s">
        <v>56</v>
      </c>
      <c r="D128" s="34">
        <v>14</v>
      </c>
      <c r="E128" s="34">
        <v>0</v>
      </c>
      <c r="F128" s="34">
        <f t="shared" si="38"/>
        <v>14</v>
      </c>
      <c r="G128" s="34">
        <v>0</v>
      </c>
      <c r="H128" s="34">
        <v>0</v>
      </c>
      <c r="I128" s="34">
        <f t="shared" si="40"/>
        <v>14</v>
      </c>
      <c r="K128" s="28"/>
    </row>
    <row r="129" spans="2:12" x14ac:dyDescent="0.2">
      <c r="B129" s="2"/>
      <c r="C129" s="3" t="s">
        <v>57</v>
      </c>
      <c r="D129" s="34">
        <v>30.4</v>
      </c>
      <c r="E129" s="34">
        <v>0</v>
      </c>
      <c r="F129" s="34">
        <f t="shared" si="38"/>
        <v>30.4</v>
      </c>
      <c r="G129" s="34">
        <v>0</v>
      </c>
      <c r="H129" s="34">
        <v>0</v>
      </c>
      <c r="I129" s="34">
        <f t="shared" si="40"/>
        <v>30.4</v>
      </c>
      <c r="K129" s="28"/>
    </row>
    <row r="130" spans="2:12" x14ac:dyDescent="0.2">
      <c r="B130" s="2"/>
      <c r="C130" s="3" t="s">
        <v>58</v>
      </c>
      <c r="D130" s="34">
        <v>339.7</v>
      </c>
      <c r="E130" s="34">
        <v>0</v>
      </c>
      <c r="F130" s="34">
        <f t="shared" si="38"/>
        <v>339.7</v>
      </c>
      <c r="G130" s="34">
        <v>0</v>
      </c>
      <c r="H130" s="34">
        <v>0</v>
      </c>
      <c r="I130" s="34">
        <f t="shared" si="40"/>
        <v>339.7</v>
      </c>
      <c r="K130" s="28"/>
    </row>
    <row r="131" spans="2:12" x14ac:dyDescent="0.2">
      <c r="B131" s="2"/>
      <c r="C131" s="3" t="s">
        <v>59</v>
      </c>
      <c r="D131" s="34">
        <v>0</v>
      </c>
      <c r="E131" s="34">
        <v>0</v>
      </c>
      <c r="F131" s="34">
        <f t="shared" si="38"/>
        <v>0</v>
      </c>
      <c r="G131" s="34">
        <v>0</v>
      </c>
      <c r="H131" s="34">
        <v>0</v>
      </c>
      <c r="I131" s="34">
        <f t="shared" si="40"/>
        <v>0</v>
      </c>
      <c r="K131" s="28"/>
    </row>
    <row r="132" spans="2:12" x14ac:dyDescent="0.2">
      <c r="B132" s="2"/>
      <c r="C132" s="3" t="s">
        <v>60</v>
      </c>
      <c r="D132" s="34">
        <v>0</v>
      </c>
      <c r="E132" s="34">
        <v>0</v>
      </c>
      <c r="F132" s="34">
        <f t="shared" si="38"/>
        <v>0</v>
      </c>
      <c r="G132" s="34">
        <v>0</v>
      </c>
      <c r="H132" s="34">
        <v>0</v>
      </c>
      <c r="I132" s="34">
        <f t="shared" si="40"/>
        <v>0</v>
      </c>
      <c r="K132" s="28"/>
    </row>
    <row r="133" spans="2:12" x14ac:dyDescent="0.2">
      <c r="B133" s="2"/>
      <c r="C133" s="3" t="s">
        <v>61</v>
      </c>
      <c r="D133" s="34">
        <v>0</v>
      </c>
      <c r="E133" s="34">
        <v>0</v>
      </c>
      <c r="F133" s="34">
        <f t="shared" si="38"/>
        <v>0</v>
      </c>
      <c r="G133" s="34">
        <v>0</v>
      </c>
      <c r="H133" s="34">
        <v>0</v>
      </c>
      <c r="I133" s="34">
        <f t="shared" si="40"/>
        <v>0</v>
      </c>
      <c r="K133" s="28"/>
      <c r="L133" s="32"/>
    </row>
    <row r="134" spans="2:12" x14ac:dyDescent="0.2">
      <c r="B134" s="2"/>
      <c r="C134" s="3" t="s">
        <v>62</v>
      </c>
      <c r="D134" s="34">
        <v>0</v>
      </c>
      <c r="E134" s="34">
        <v>0</v>
      </c>
      <c r="F134" s="34">
        <f t="shared" si="38"/>
        <v>0</v>
      </c>
      <c r="G134" s="34">
        <v>0</v>
      </c>
      <c r="H134" s="34">
        <v>0</v>
      </c>
      <c r="I134" s="34">
        <f t="shared" si="40"/>
        <v>0</v>
      </c>
      <c r="K134" s="28"/>
      <c r="L134" s="32"/>
    </row>
    <row r="135" spans="2:12" x14ac:dyDescent="0.2">
      <c r="B135" s="2"/>
      <c r="C135" s="3" t="s">
        <v>63</v>
      </c>
      <c r="D135" s="34">
        <v>0</v>
      </c>
      <c r="E135" s="34">
        <v>0</v>
      </c>
      <c r="F135" s="34">
        <f t="shared" si="38"/>
        <v>0</v>
      </c>
      <c r="G135" s="34">
        <v>0</v>
      </c>
      <c r="H135" s="34">
        <v>0</v>
      </c>
      <c r="I135" s="34">
        <f t="shared" si="40"/>
        <v>0</v>
      </c>
      <c r="K135" s="28"/>
      <c r="L135" s="32"/>
    </row>
    <row r="136" spans="2:12" x14ac:dyDescent="0.2">
      <c r="B136" s="11" t="s">
        <v>64</v>
      </c>
      <c r="C136" s="12"/>
      <c r="D136" s="31">
        <f>SUM(D137:D139)</f>
        <v>4202901.4000000004</v>
      </c>
      <c r="E136" s="31">
        <f>SUM(E137:E139)</f>
        <v>0</v>
      </c>
      <c r="F136" s="31">
        <f>SUM(F137:F139)</f>
        <v>4202901.4000000004</v>
      </c>
      <c r="G136" s="31">
        <f>SUM(G137:G139)</f>
        <v>1193708.6270000001</v>
      </c>
      <c r="H136" s="31">
        <f>SUM(H137:H139)</f>
        <v>1193708.6270000001</v>
      </c>
      <c r="I136" s="31">
        <f t="shared" si="40"/>
        <v>3009192.773</v>
      </c>
      <c r="K136" s="28"/>
      <c r="L136" s="32"/>
    </row>
    <row r="137" spans="2:12" x14ac:dyDescent="0.2">
      <c r="B137" s="2"/>
      <c r="C137" s="3" t="s">
        <v>65</v>
      </c>
      <c r="D137" s="34">
        <v>4202901.4000000004</v>
      </c>
      <c r="E137" s="34">
        <v>0</v>
      </c>
      <c r="F137" s="34">
        <f>+D137+E137</f>
        <v>4202901.4000000004</v>
      </c>
      <c r="G137" s="34">
        <v>1193708.6270000001</v>
      </c>
      <c r="H137" s="34">
        <f>+G137</f>
        <v>1193708.6270000001</v>
      </c>
      <c r="I137" s="34">
        <f t="shared" si="40"/>
        <v>3009192.773</v>
      </c>
      <c r="K137" s="28"/>
      <c r="L137" s="32"/>
    </row>
    <row r="138" spans="2:12" x14ac:dyDescent="0.2">
      <c r="B138" s="2"/>
      <c r="C138" s="3" t="s">
        <v>66</v>
      </c>
      <c r="D138" s="34">
        <v>0</v>
      </c>
      <c r="E138" s="34">
        <v>0</v>
      </c>
      <c r="F138" s="34">
        <f>+D138+E138</f>
        <v>0</v>
      </c>
      <c r="G138" s="34">
        <v>0</v>
      </c>
      <c r="H138" s="34">
        <f>+G138</f>
        <v>0</v>
      </c>
      <c r="I138" s="34">
        <f t="shared" si="40"/>
        <v>0</v>
      </c>
      <c r="K138" s="28"/>
    </row>
    <row r="139" spans="2:12" x14ac:dyDescent="0.2">
      <c r="B139" s="2"/>
      <c r="C139" s="3" t="s">
        <v>67</v>
      </c>
      <c r="D139" s="34">
        <v>0</v>
      </c>
      <c r="E139" s="34">
        <v>0</v>
      </c>
      <c r="F139" s="34">
        <f>+D139+E139</f>
        <v>0</v>
      </c>
      <c r="G139" s="34">
        <v>0</v>
      </c>
      <c r="H139" s="34">
        <v>0</v>
      </c>
      <c r="I139" s="34">
        <f t="shared" si="40"/>
        <v>0</v>
      </c>
      <c r="K139" s="28"/>
    </row>
    <row r="140" spans="2:12" x14ac:dyDescent="0.2">
      <c r="B140" s="11" t="s">
        <v>68</v>
      </c>
      <c r="C140" s="12"/>
      <c r="D140" s="31">
        <f>SUM(D141:D148)</f>
        <v>0</v>
      </c>
      <c r="E140" s="31">
        <f>SUM(E141:E148)</f>
        <v>0</v>
      </c>
      <c r="F140" s="31">
        <f>SUM(F141:F148)</f>
        <v>0</v>
      </c>
      <c r="G140" s="31">
        <f>SUM(G141:G148)</f>
        <v>0</v>
      </c>
      <c r="H140" s="31">
        <f>SUM(H141:H148)</f>
        <v>0</v>
      </c>
      <c r="I140" s="31">
        <f t="shared" si="40"/>
        <v>0</v>
      </c>
      <c r="K140" s="28"/>
    </row>
    <row r="141" spans="2:12" x14ac:dyDescent="0.2">
      <c r="B141" s="2"/>
      <c r="C141" s="3" t="s">
        <v>69</v>
      </c>
      <c r="D141" s="34">
        <v>0</v>
      </c>
      <c r="E141" s="34">
        <v>0</v>
      </c>
      <c r="F141" s="34">
        <f t="shared" ref="F141:F148" si="41">+D141+E141</f>
        <v>0</v>
      </c>
      <c r="G141" s="34">
        <v>0</v>
      </c>
      <c r="H141" s="34">
        <v>0</v>
      </c>
      <c r="I141" s="34">
        <f t="shared" si="40"/>
        <v>0</v>
      </c>
      <c r="K141" s="28"/>
    </row>
    <row r="142" spans="2:12" x14ac:dyDescent="0.2">
      <c r="B142" s="2"/>
      <c r="C142" s="3" t="s">
        <v>70</v>
      </c>
      <c r="D142" s="34">
        <v>0</v>
      </c>
      <c r="E142" s="34">
        <v>0</v>
      </c>
      <c r="F142" s="34">
        <f t="shared" si="41"/>
        <v>0</v>
      </c>
      <c r="G142" s="34">
        <v>0</v>
      </c>
      <c r="H142" s="34">
        <v>0</v>
      </c>
      <c r="I142" s="34">
        <f t="shared" si="40"/>
        <v>0</v>
      </c>
      <c r="K142" s="28"/>
    </row>
    <row r="143" spans="2:12" x14ac:dyDescent="0.2">
      <c r="B143" s="2"/>
      <c r="C143" s="3" t="s">
        <v>71</v>
      </c>
      <c r="D143" s="34">
        <v>0</v>
      </c>
      <c r="E143" s="34">
        <v>0</v>
      </c>
      <c r="F143" s="34">
        <f t="shared" si="41"/>
        <v>0</v>
      </c>
      <c r="G143" s="34">
        <v>0</v>
      </c>
      <c r="H143" s="34">
        <v>0</v>
      </c>
      <c r="I143" s="34">
        <f t="shared" si="40"/>
        <v>0</v>
      </c>
      <c r="K143" s="28"/>
    </row>
    <row r="144" spans="2:12" x14ac:dyDescent="0.2">
      <c r="B144" s="2"/>
      <c r="C144" s="3" t="s">
        <v>72</v>
      </c>
      <c r="D144" s="34">
        <v>0</v>
      </c>
      <c r="E144" s="34">
        <v>0</v>
      </c>
      <c r="F144" s="34">
        <f t="shared" si="41"/>
        <v>0</v>
      </c>
      <c r="G144" s="34">
        <v>0</v>
      </c>
      <c r="H144" s="34">
        <v>0</v>
      </c>
      <c r="I144" s="34">
        <f t="shared" si="40"/>
        <v>0</v>
      </c>
      <c r="K144" s="28"/>
    </row>
    <row r="145" spans="2:11" x14ac:dyDescent="0.2">
      <c r="B145" s="2"/>
      <c r="C145" s="3" t="s">
        <v>73</v>
      </c>
      <c r="D145" s="34">
        <v>0</v>
      </c>
      <c r="E145" s="34">
        <v>0</v>
      </c>
      <c r="F145" s="34">
        <f t="shared" si="41"/>
        <v>0</v>
      </c>
      <c r="G145" s="34">
        <v>0</v>
      </c>
      <c r="H145" s="34">
        <v>0</v>
      </c>
      <c r="I145" s="34">
        <f t="shared" si="40"/>
        <v>0</v>
      </c>
      <c r="K145" s="28"/>
    </row>
    <row r="146" spans="2:11" x14ac:dyDescent="0.2">
      <c r="B146" s="2"/>
      <c r="C146" s="3" t="s">
        <v>74</v>
      </c>
      <c r="D146" s="34">
        <v>0</v>
      </c>
      <c r="E146" s="34">
        <v>0</v>
      </c>
      <c r="F146" s="34">
        <f t="shared" si="41"/>
        <v>0</v>
      </c>
      <c r="G146" s="34">
        <v>0</v>
      </c>
      <c r="H146" s="34">
        <v>0</v>
      </c>
      <c r="I146" s="34">
        <f t="shared" si="40"/>
        <v>0</v>
      </c>
      <c r="K146" s="28"/>
    </row>
    <row r="147" spans="2:11" x14ac:dyDescent="0.2">
      <c r="B147" s="2"/>
      <c r="C147" s="3" t="s">
        <v>75</v>
      </c>
      <c r="D147" s="34">
        <v>0</v>
      </c>
      <c r="E147" s="34">
        <v>0</v>
      </c>
      <c r="F147" s="34">
        <f t="shared" si="41"/>
        <v>0</v>
      </c>
      <c r="G147" s="34">
        <v>0</v>
      </c>
      <c r="H147" s="34">
        <v>0</v>
      </c>
      <c r="I147" s="34">
        <f t="shared" si="40"/>
        <v>0</v>
      </c>
      <c r="K147" s="28"/>
    </row>
    <row r="148" spans="2:11" x14ac:dyDescent="0.2">
      <c r="B148" s="2"/>
      <c r="C148" s="3" t="s">
        <v>76</v>
      </c>
      <c r="D148" s="34">
        <v>0</v>
      </c>
      <c r="E148" s="34">
        <v>0</v>
      </c>
      <c r="F148" s="34">
        <f t="shared" si="41"/>
        <v>0</v>
      </c>
      <c r="G148" s="34">
        <v>0</v>
      </c>
      <c r="H148" s="34">
        <v>0</v>
      </c>
      <c r="I148" s="34">
        <f t="shared" si="40"/>
        <v>0</v>
      </c>
      <c r="K148" s="28"/>
    </row>
    <row r="149" spans="2:11" x14ac:dyDescent="0.2">
      <c r="B149" s="11" t="s">
        <v>77</v>
      </c>
      <c r="C149" s="12"/>
      <c r="D149" s="31">
        <f>SUM(D150:D152)</f>
        <v>18561811.260000002</v>
      </c>
      <c r="E149" s="31">
        <f>SUM(E150:E152)</f>
        <v>0</v>
      </c>
      <c r="F149" s="31">
        <f>SUM(F150:F152)</f>
        <v>18561811.260000002</v>
      </c>
      <c r="G149" s="31">
        <f>SUM(G150:G152)</f>
        <v>5201020.1179999998</v>
      </c>
      <c r="H149" s="31">
        <f>SUM(H150:H152)</f>
        <v>5201020.1679999996</v>
      </c>
      <c r="I149" s="31">
        <f t="shared" si="40"/>
        <v>13360791.142000001</v>
      </c>
      <c r="K149" s="28"/>
    </row>
    <row r="150" spans="2:11" x14ac:dyDescent="0.2">
      <c r="B150" s="2"/>
      <c r="C150" s="3" t="s">
        <v>78</v>
      </c>
      <c r="D150" s="34">
        <v>92818.76</v>
      </c>
      <c r="E150" s="34">
        <v>0</v>
      </c>
      <c r="F150" s="34">
        <f>+D150+E150</f>
        <v>92818.76</v>
      </c>
      <c r="G150" s="34">
        <v>0</v>
      </c>
      <c r="H150" s="34">
        <v>0</v>
      </c>
      <c r="I150" s="34">
        <f t="shared" si="40"/>
        <v>92818.76</v>
      </c>
      <c r="K150" s="28"/>
    </row>
    <row r="151" spans="2:11" s="35" customFormat="1" x14ac:dyDescent="0.2">
      <c r="B151" s="2"/>
      <c r="C151" s="3" t="s">
        <v>79</v>
      </c>
      <c r="D151" s="34">
        <v>18468992.5</v>
      </c>
      <c r="E151" s="34">
        <v>0</v>
      </c>
      <c r="F151" s="34">
        <f>+D151+E151</f>
        <v>18468992.5</v>
      </c>
      <c r="G151" s="34">
        <v>5199710.25</v>
      </c>
      <c r="H151" s="34">
        <v>5199710.3</v>
      </c>
      <c r="I151" s="34">
        <f t="shared" si="40"/>
        <v>13269282.25</v>
      </c>
      <c r="J151" s="41"/>
      <c r="K151" s="41"/>
    </row>
    <row r="152" spans="2:11" x14ac:dyDescent="0.2">
      <c r="B152" s="2"/>
      <c r="C152" s="3" t="s">
        <v>80</v>
      </c>
      <c r="D152" s="34">
        <v>0</v>
      </c>
      <c r="E152" s="34">
        <v>0</v>
      </c>
      <c r="F152" s="34">
        <f>+D152+E152</f>
        <v>0</v>
      </c>
      <c r="G152" s="34">
        <v>1309.8679999999999</v>
      </c>
      <c r="H152" s="34">
        <v>1309.8679999999999</v>
      </c>
      <c r="I152" s="34">
        <f t="shared" si="40"/>
        <v>-1309.8679999999999</v>
      </c>
      <c r="K152" s="28"/>
    </row>
    <row r="153" spans="2:11" x14ac:dyDescent="0.2">
      <c r="B153" s="11" t="s">
        <v>81</v>
      </c>
      <c r="C153" s="12"/>
      <c r="D153" s="31">
        <f>SUM(D154:D160)</f>
        <v>0</v>
      </c>
      <c r="E153" s="31">
        <f>SUM(E154:E160)</f>
        <v>0</v>
      </c>
      <c r="F153" s="31">
        <f>SUM(F154:F160)</f>
        <v>0</v>
      </c>
      <c r="G153" s="31">
        <f>SUM(G154:G160)</f>
        <v>65318</v>
      </c>
      <c r="H153" s="31">
        <f>SUM(H154:H160)</f>
        <v>65318</v>
      </c>
      <c r="I153" s="31">
        <f t="shared" si="40"/>
        <v>-65318</v>
      </c>
      <c r="K153" s="28"/>
    </row>
    <row r="154" spans="2:11" x14ac:dyDescent="0.2">
      <c r="B154" s="2"/>
      <c r="C154" s="3" t="s">
        <v>82</v>
      </c>
      <c r="D154" s="34">
        <v>0</v>
      </c>
      <c r="E154" s="34">
        <v>0</v>
      </c>
      <c r="F154" s="34">
        <f t="shared" ref="F154:F160" si="42">+D154+E154</f>
        <v>0</v>
      </c>
      <c r="G154" s="34">
        <v>0</v>
      </c>
      <c r="H154" s="34">
        <v>0</v>
      </c>
      <c r="I154" s="34">
        <f t="shared" si="40"/>
        <v>0</v>
      </c>
      <c r="K154" s="28"/>
    </row>
    <row r="155" spans="2:11" x14ac:dyDescent="0.2">
      <c r="B155" s="2"/>
      <c r="C155" s="3" t="s">
        <v>83</v>
      </c>
      <c r="D155" s="34">
        <v>0</v>
      </c>
      <c r="E155" s="34">
        <v>0</v>
      </c>
      <c r="F155" s="34">
        <f t="shared" si="42"/>
        <v>0</v>
      </c>
      <c r="G155" s="34">
        <v>65318</v>
      </c>
      <c r="H155" s="34">
        <f>+G155</f>
        <v>65318</v>
      </c>
      <c r="I155" s="34">
        <f t="shared" si="40"/>
        <v>-65318</v>
      </c>
      <c r="K155" s="28"/>
    </row>
    <row r="156" spans="2:11" x14ac:dyDescent="0.2">
      <c r="B156" s="2"/>
      <c r="C156" s="3" t="s">
        <v>84</v>
      </c>
      <c r="D156" s="34">
        <v>0</v>
      </c>
      <c r="E156" s="34">
        <v>0</v>
      </c>
      <c r="F156" s="34">
        <f t="shared" si="42"/>
        <v>0</v>
      </c>
      <c r="G156" s="34">
        <v>0</v>
      </c>
      <c r="H156" s="34">
        <v>0</v>
      </c>
      <c r="I156" s="34">
        <f t="shared" si="40"/>
        <v>0</v>
      </c>
      <c r="K156" s="28"/>
    </row>
    <row r="157" spans="2:11" x14ac:dyDescent="0.2">
      <c r="B157" s="2"/>
      <c r="C157" s="3" t="s">
        <v>85</v>
      </c>
      <c r="D157" s="34">
        <v>0</v>
      </c>
      <c r="E157" s="34">
        <v>0</v>
      </c>
      <c r="F157" s="34">
        <f t="shared" si="42"/>
        <v>0</v>
      </c>
      <c r="G157" s="34">
        <v>0</v>
      </c>
      <c r="H157" s="34">
        <v>0</v>
      </c>
      <c r="I157" s="34">
        <f t="shared" si="40"/>
        <v>0</v>
      </c>
      <c r="K157" s="28"/>
    </row>
    <row r="158" spans="2:11" x14ac:dyDescent="0.2">
      <c r="B158" s="2"/>
      <c r="C158" s="3" t="s">
        <v>86</v>
      </c>
      <c r="D158" s="34">
        <v>0</v>
      </c>
      <c r="E158" s="34">
        <v>0</v>
      </c>
      <c r="F158" s="34">
        <f t="shared" si="42"/>
        <v>0</v>
      </c>
      <c r="G158" s="34">
        <v>0</v>
      </c>
      <c r="H158" s="34">
        <v>0</v>
      </c>
      <c r="I158" s="34">
        <f t="shared" si="40"/>
        <v>0</v>
      </c>
      <c r="K158" s="28"/>
    </row>
    <row r="159" spans="2:11" x14ac:dyDescent="0.2">
      <c r="B159" s="2"/>
      <c r="C159" s="3" t="s">
        <v>87</v>
      </c>
      <c r="D159" s="34">
        <v>0</v>
      </c>
      <c r="E159" s="34">
        <v>0</v>
      </c>
      <c r="F159" s="34">
        <f t="shared" si="42"/>
        <v>0</v>
      </c>
      <c r="G159" s="34">
        <v>0</v>
      </c>
      <c r="H159" s="34">
        <v>0</v>
      </c>
      <c r="I159" s="34">
        <f t="shared" si="40"/>
        <v>0</v>
      </c>
      <c r="K159" s="28"/>
    </row>
    <row r="160" spans="2:11" x14ac:dyDescent="0.2">
      <c r="B160" s="2"/>
      <c r="C160" s="3" t="s">
        <v>88</v>
      </c>
      <c r="D160" s="34">
        <v>0</v>
      </c>
      <c r="E160" s="34">
        <v>0</v>
      </c>
      <c r="F160" s="34">
        <f t="shared" si="42"/>
        <v>0</v>
      </c>
      <c r="G160" s="34">
        <v>0</v>
      </c>
      <c r="H160" s="34">
        <v>0</v>
      </c>
      <c r="I160" s="34">
        <f t="shared" si="40"/>
        <v>0</v>
      </c>
      <c r="K160" s="28"/>
    </row>
    <row r="161" spans="2:13" x14ac:dyDescent="0.2">
      <c r="B161" s="2"/>
      <c r="C161" s="3"/>
      <c r="D161" s="34"/>
      <c r="E161" s="34"/>
      <c r="F161" s="34"/>
      <c r="G161" s="34"/>
      <c r="H161" s="34"/>
      <c r="I161" s="34"/>
      <c r="K161" s="28"/>
    </row>
    <row r="162" spans="2:13" x14ac:dyDescent="0.2">
      <c r="B162" s="11" t="s">
        <v>90</v>
      </c>
      <c r="C162" s="12"/>
      <c r="D162" s="31">
        <f t="shared" ref="D162:H162" si="43">+D10+D87</f>
        <v>284609933.5</v>
      </c>
      <c r="E162" s="31">
        <f t="shared" si="43"/>
        <v>0</v>
      </c>
      <c r="F162" s="31">
        <f t="shared" si="43"/>
        <v>284609933.5</v>
      </c>
      <c r="G162" s="31">
        <f t="shared" si="43"/>
        <v>77509140.764760002</v>
      </c>
      <c r="H162" s="31">
        <f t="shared" si="43"/>
        <v>76700394.086559981</v>
      </c>
      <c r="I162" s="31">
        <f>+I10+I87</f>
        <v>207100792.73523998</v>
      </c>
      <c r="M162" s="28"/>
    </row>
    <row r="163" spans="2:13" x14ac:dyDescent="0.2">
      <c r="B163" s="4"/>
      <c r="C163" s="5"/>
      <c r="D163" s="9"/>
      <c r="E163" s="9"/>
      <c r="F163" s="9"/>
      <c r="G163" s="9"/>
      <c r="H163" s="9"/>
      <c r="I163" s="9"/>
    </row>
    <row r="164" spans="2:13" x14ac:dyDescent="0.2">
      <c r="B164" s="35"/>
      <c r="C164" s="35"/>
      <c r="D164" s="41"/>
      <c r="E164" s="41"/>
      <c r="F164" s="41"/>
      <c r="G164" s="41"/>
      <c r="H164" s="41"/>
      <c r="I164" s="41"/>
    </row>
    <row r="165" spans="2:13" s="35" customFormat="1" x14ac:dyDescent="0.2">
      <c r="D165" s="41"/>
      <c r="E165" s="41"/>
      <c r="F165" s="41"/>
      <c r="G165" s="41"/>
      <c r="H165" s="41"/>
      <c r="I165" s="41"/>
      <c r="J165" s="41"/>
    </row>
    <row r="166" spans="2:13" s="35" customFormat="1" x14ac:dyDescent="0.2">
      <c r="D166" s="41"/>
      <c r="E166" s="41"/>
      <c r="F166" s="41"/>
      <c r="G166" s="41"/>
      <c r="H166" s="41"/>
      <c r="I166" s="41"/>
      <c r="J166" s="41"/>
    </row>
    <row r="167" spans="2:13" s="35" customFormat="1" x14ac:dyDescent="0.2">
      <c r="D167" s="41"/>
      <c r="E167" s="41"/>
      <c r="F167" s="41"/>
      <c r="G167" s="41"/>
      <c r="H167" s="41"/>
      <c r="I167" s="41"/>
      <c r="J167" s="41"/>
    </row>
    <row r="168" spans="2:13" s="35" customFormat="1" x14ac:dyDescent="0.2">
      <c r="D168" s="41"/>
      <c r="E168" s="41"/>
      <c r="F168" s="41"/>
      <c r="G168" s="41"/>
      <c r="H168" s="41"/>
      <c r="I168" s="41"/>
      <c r="J168" s="41"/>
    </row>
    <row r="169" spans="2:13" s="35" customFormat="1" x14ac:dyDescent="0.2">
      <c r="D169" s="41"/>
      <c r="E169" s="41"/>
      <c r="F169" s="41"/>
      <c r="G169" s="41"/>
      <c r="H169" s="41"/>
      <c r="I169" s="41"/>
      <c r="J169" s="41"/>
    </row>
    <row r="170" spans="2:13" s="35" customFormat="1" x14ac:dyDescent="0.2">
      <c r="D170" s="41"/>
      <c r="E170" s="41"/>
      <c r="F170" s="41"/>
      <c r="G170" s="41"/>
      <c r="H170" s="41"/>
      <c r="I170" s="41"/>
      <c r="J170" s="41"/>
    </row>
    <row r="171" spans="2:13" s="35" customFormat="1" x14ac:dyDescent="0.2">
      <c r="D171" s="41"/>
      <c r="E171" s="41"/>
      <c r="F171" s="41"/>
      <c r="G171" s="41"/>
      <c r="H171" s="41"/>
      <c r="I171" s="41"/>
      <c r="J171" s="41"/>
    </row>
    <row r="172" spans="2:13" s="35" customFormat="1" x14ac:dyDescent="0.2">
      <c r="D172" s="41"/>
      <c r="E172" s="41"/>
      <c r="F172" s="41"/>
      <c r="G172" s="41"/>
      <c r="H172" s="41"/>
      <c r="I172" s="41"/>
      <c r="J172" s="41"/>
    </row>
    <row r="173" spans="2:13" s="35" customFormat="1" x14ac:dyDescent="0.2">
      <c r="D173" s="41"/>
      <c r="E173" s="41"/>
      <c r="F173" s="41"/>
      <c r="G173" s="41"/>
      <c r="H173" s="41"/>
      <c r="I173" s="41"/>
      <c r="J173" s="41"/>
    </row>
    <row r="174" spans="2:13" s="35" customFormat="1" x14ac:dyDescent="0.2">
      <c r="D174" s="41"/>
      <c r="E174" s="41"/>
      <c r="F174" s="41"/>
      <c r="G174" s="41"/>
      <c r="H174" s="41"/>
      <c r="I174" s="41"/>
      <c r="J174" s="41"/>
    </row>
    <row r="175" spans="2:13" s="35" customFormat="1" x14ac:dyDescent="0.2">
      <c r="D175" s="41"/>
      <c r="E175" s="41"/>
      <c r="F175" s="41"/>
      <c r="G175" s="41"/>
      <c r="H175" s="41"/>
      <c r="I175" s="41"/>
      <c r="J175" s="41"/>
    </row>
    <row r="176" spans="2:13" x14ac:dyDescent="0.2">
      <c r="G176" s="41"/>
      <c r="H176" s="41"/>
      <c r="I176" s="41"/>
    </row>
    <row r="177" spans="7:9" x14ac:dyDescent="0.2">
      <c r="G177" s="41"/>
      <c r="H177" s="41"/>
      <c r="I177" s="41"/>
    </row>
    <row r="178" spans="7:9" x14ac:dyDescent="0.2">
      <c r="G178" s="41"/>
      <c r="H178" s="41"/>
      <c r="I178" s="41"/>
    </row>
    <row r="179" spans="7:9" x14ac:dyDescent="0.2">
      <c r="G179" s="41"/>
      <c r="H179" s="41"/>
      <c r="I179" s="41"/>
    </row>
  </sheetData>
  <mergeCells count="31">
    <mergeCell ref="B162:C162"/>
    <mergeCell ref="B116:C116"/>
    <mergeCell ref="B126:C126"/>
    <mergeCell ref="B136:C136"/>
    <mergeCell ref="B140:C140"/>
    <mergeCell ref="B149:C149"/>
    <mergeCell ref="B153:C153"/>
    <mergeCell ref="B106:C106"/>
    <mergeCell ref="B19:C19"/>
    <mergeCell ref="B29:C29"/>
    <mergeCell ref="B39:C39"/>
    <mergeCell ref="B49:C49"/>
    <mergeCell ref="B59:C59"/>
    <mergeCell ref="B63:C63"/>
    <mergeCell ref="B72:C72"/>
    <mergeCell ref="B76:C76"/>
    <mergeCell ref="B87:C87"/>
    <mergeCell ref="B88:C88"/>
    <mergeCell ref="B96:C96"/>
    <mergeCell ref="B11:C11"/>
    <mergeCell ref="B1:I1"/>
    <mergeCell ref="B2:I2"/>
    <mergeCell ref="B3:I3"/>
    <mergeCell ref="B4:I4"/>
    <mergeCell ref="B5:I5"/>
    <mergeCell ref="B6:I6"/>
    <mergeCell ref="B7:I7"/>
    <mergeCell ref="B8:C9"/>
    <mergeCell ref="D8:H8"/>
    <mergeCell ref="I8:I9"/>
    <mergeCell ref="B10:C10"/>
  </mergeCells>
  <printOptions horizontalCentered="1"/>
  <pageMargins left="0.39370078740157483" right="0.39370078740157483" top="0.78740157480314965" bottom="0.78740157480314965" header="0.31496062992125984" footer="0.31496062992125984"/>
  <pageSetup scale="53" fitToHeight="2" orientation="portrait" r:id="rId1"/>
  <rowBreaks count="1" manualBreakCount="1"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6a ok DEF</vt:lpstr>
      <vt:lpstr>'FORMATO 6a ok DEF'!Títulos_a_imprimir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Carol</cp:lastModifiedBy>
  <cp:lastPrinted>2022-08-26T18:32:03Z</cp:lastPrinted>
  <dcterms:created xsi:type="dcterms:W3CDTF">2022-08-26T17:05:13Z</dcterms:created>
  <dcterms:modified xsi:type="dcterms:W3CDTF">2022-08-26T18:32:27Z</dcterms:modified>
</cp:coreProperties>
</file>