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E2BAF6BC-88D3-4037-A064-DDDFDEDF3A57}" xr6:coauthVersionLast="47" xr6:coauthVersionMax="47" xr10:uidLastSave="{00000000-0000-0000-0000-000000000000}"/>
  <bookViews>
    <workbookView xWindow="-120" yWindow="-120" windowWidth="29040" windowHeight="15840" xr2:uid="{46D39174-56A2-45C2-9CD0-AEBDFFE70906}"/>
  </bookViews>
  <sheets>
    <sheet name="FORMATO 6a LDF JUN " sheetId="1" r:id="rId1"/>
  </sheets>
  <externalReferences>
    <externalReference r:id="rId2"/>
  </externalReferences>
  <definedNames>
    <definedName name="JR_PAGE_ANCHOR_0_1">#REF!</definedName>
    <definedName name="_xlnm.Print_Titles" localSheetId="0">'FORMATO 6a LDF JUN 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1" i="1" l="1"/>
  <c r="F161" i="1"/>
  <c r="I161" i="1" s="1"/>
  <c r="H160" i="1"/>
  <c r="F160" i="1"/>
  <c r="I160" i="1" s="1"/>
  <c r="H159" i="1"/>
  <c r="F159" i="1"/>
  <c r="I159" i="1" s="1"/>
  <c r="H158" i="1"/>
  <c r="F158" i="1"/>
  <c r="I158" i="1" s="1"/>
  <c r="H157" i="1"/>
  <c r="F157" i="1"/>
  <c r="I157" i="1" s="1"/>
  <c r="F156" i="1"/>
  <c r="I156" i="1" s="1"/>
  <c r="H155" i="1"/>
  <c r="F155" i="1"/>
  <c r="I155" i="1" s="1"/>
  <c r="H154" i="1"/>
  <c r="G154" i="1"/>
  <c r="F154" i="1"/>
  <c r="I154" i="1" s="1"/>
  <c r="E154" i="1"/>
  <c r="D154" i="1"/>
  <c r="G153" i="1"/>
  <c r="F153" i="1"/>
  <c r="I153" i="1" s="1"/>
  <c r="I152" i="1"/>
  <c r="F152" i="1"/>
  <c r="H151" i="1"/>
  <c r="F151" i="1"/>
  <c r="I151" i="1" s="1"/>
  <c r="H150" i="1"/>
  <c r="G150" i="1"/>
  <c r="F150" i="1"/>
  <c r="I150" i="1" s="1"/>
  <c r="E150" i="1"/>
  <c r="D150" i="1"/>
  <c r="H149" i="1"/>
  <c r="F149" i="1"/>
  <c r="I149" i="1" s="1"/>
  <c r="H148" i="1"/>
  <c r="F148" i="1"/>
  <c r="I148" i="1" s="1"/>
  <c r="H147" i="1"/>
  <c r="F147" i="1"/>
  <c r="I147" i="1" s="1"/>
  <c r="H146" i="1"/>
  <c r="F146" i="1"/>
  <c r="I146" i="1" s="1"/>
  <c r="H145" i="1"/>
  <c r="F145" i="1"/>
  <c r="I145" i="1" s="1"/>
  <c r="H144" i="1"/>
  <c r="F144" i="1"/>
  <c r="I144" i="1" s="1"/>
  <c r="H143" i="1"/>
  <c r="F143" i="1"/>
  <c r="I143" i="1" s="1"/>
  <c r="H142" i="1"/>
  <c r="F142" i="1"/>
  <c r="I142" i="1" s="1"/>
  <c r="H141" i="1"/>
  <c r="G141" i="1"/>
  <c r="F141" i="1"/>
  <c r="I141" i="1" s="1"/>
  <c r="E141" i="1"/>
  <c r="D141" i="1"/>
  <c r="H140" i="1"/>
  <c r="F140" i="1"/>
  <c r="I140" i="1" s="1"/>
  <c r="H139" i="1"/>
  <c r="F139" i="1"/>
  <c r="I139" i="1" s="1"/>
  <c r="F138" i="1"/>
  <c r="I138" i="1" s="1"/>
  <c r="H137" i="1"/>
  <c r="G137" i="1"/>
  <c r="F137" i="1"/>
  <c r="I137" i="1" s="1"/>
  <c r="E137" i="1"/>
  <c r="D137" i="1"/>
  <c r="H136" i="1"/>
  <c r="F136" i="1"/>
  <c r="I136" i="1" s="1"/>
  <c r="H135" i="1"/>
  <c r="F135" i="1"/>
  <c r="I135" i="1" s="1"/>
  <c r="F134" i="1"/>
  <c r="I134" i="1" s="1"/>
  <c r="I133" i="1"/>
  <c r="F132" i="1"/>
  <c r="I132" i="1" s="1"/>
  <c r="F131" i="1"/>
  <c r="I131" i="1" s="1"/>
  <c r="F130" i="1"/>
  <c r="I130" i="1" s="1"/>
  <c r="F129" i="1"/>
  <c r="I129" i="1" s="1"/>
  <c r="F128" i="1"/>
  <c r="I128" i="1" s="1"/>
  <c r="I127" i="1" s="1"/>
  <c r="H127" i="1"/>
  <c r="G127" i="1"/>
  <c r="E127" i="1"/>
  <c r="D127" i="1"/>
  <c r="F127" i="1" s="1"/>
  <c r="H126" i="1"/>
  <c r="F126" i="1"/>
  <c r="I126" i="1" s="1"/>
  <c r="H125" i="1"/>
  <c r="F125" i="1"/>
  <c r="I125" i="1" s="1"/>
  <c r="F124" i="1"/>
  <c r="I124" i="1" s="1"/>
  <c r="D123" i="1"/>
  <c r="F123" i="1" s="1"/>
  <c r="F122" i="1"/>
  <c r="I122" i="1" s="1"/>
  <c r="F121" i="1"/>
  <c r="I121" i="1" s="1"/>
  <c r="F120" i="1"/>
  <c r="I120" i="1" s="1"/>
  <c r="F119" i="1"/>
  <c r="I119" i="1" s="1"/>
  <c r="F118" i="1"/>
  <c r="I118" i="1" s="1"/>
  <c r="D118" i="1"/>
  <c r="H117" i="1"/>
  <c r="G117" i="1"/>
  <c r="E117" i="1"/>
  <c r="D117" i="1"/>
  <c r="H116" i="1"/>
  <c r="F116" i="1"/>
  <c r="I116" i="1" s="1"/>
  <c r="F115" i="1"/>
  <c r="I115" i="1" s="1"/>
  <c r="H114" i="1"/>
  <c r="F114" i="1"/>
  <c r="I114" i="1" s="1"/>
  <c r="I113" i="1"/>
  <c r="F113" i="1"/>
  <c r="I112" i="1"/>
  <c r="F112" i="1"/>
  <c r="H111" i="1"/>
  <c r="F111" i="1"/>
  <c r="I111" i="1" s="1"/>
  <c r="F110" i="1"/>
  <c r="I110" i="1" s="1"/>
  <c r="H109" i="1"/>
  <c r="F109" i="1"/>
  <c r="I109" i="1" s="1"/>
  <c r="I107" i="1" s="1"/>
  <c r="I108" i="1"/>
  <c r="F108" i="1"/>
  <c r="H107" i="1"/>
  <c r="G107" i="1"/>
  <c r="F107" i="1"/>
  <c r="E107" i="1"/>
  <c r="D107" i="1"/>
  <c r="H106" i="1"/>
  <c r="F106" i="1"/>
  <c r="I106" i="1" s="1"/>
  <c r="H105" i="1"/>
  <c r="F105" i="1"/>
  <c r="I105" i="1" s="1"/>
  <c r="H104" i="1"/>
  <c r="F104" i="1"/>
  <c r="I104" i="1" s="1"/>
  <c r="F103" i="1"/>
  <c r="I103" i="1" s="1"/>
  <c r="H102" i="1"/>
  <c r="F102" i="1"/>
  <c r="I102" i="1" s="1"/>
  <c r="F101" i="1"/>
  <c r="I101" i="1" s="1"/>
  <c r="H100" i="1"/>
  <c r="F100" i="1"/>
  <c r="I100" i="1" s="1"/>
  <c r="H99" i="1"/>
  <c r="F99" i="1"/>
  <c r="I99" i="1" s="1"/>
  <c r="F98" i="1"/>
  <c r="I98" i="1" s="1"/>
  <c r="I97" i="1" s="1"/>
  <c r="H97" i="1"/>
  <c r="G97" i="1"/>
  <c r="F97" i="1"/>
  <c r="E97" i="1"/>
  <c r="D97" i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F90" i="1"/>
  <c r="I90" i="1" s="1"/>
  <c r="I89" i="1" s="1"/>
  <c r="D90" i="1"/>
  <c r="H89" i="1"/>
  <c r="G89" i="1"/>
  <c r="F89" i="1"/>
  <c r="E89" i="1"/>
  <c r="D89" i="1"/>
  <c r="H88" i="1"/>
  <c r="G88" i="1"/>
  <c r="E88" i="1"/>
  <c r="D88" i="1"/>
  <c r="F84" i="1"/>
  <c r="I84" i="1" s="1"/>
  <c r="F83" i="1"/>
  <c r="I83" i="1" s="1"/>
  <c r="F82" i="1"/>
  <c r="I82" i="1" s="1"/>
  <c r="F81" i="1"/>
  <c r="I81" i="1" s="1"/>
  <c r="F80" i="1"/>
  <c r="I80" i="1" s="1"/>
  <c r="H79" i="1"/>
  <c r="G79" i="1"/>
  <c r="F79" i="1"/>
  <c r="I79" i="1" s="1"/>
  <c r="I77" i="1" s="1"/>
  <c r="D79" i="1"/>
  <c r="I78" i="1"/>
  <c r="F78" i="1"/>
  <c r="H77" i="1"/>
  <c r="G77" i="1"/>
  <c r="F77" i="1"/>
  <c r="E77" i="1"/>
  <c r="D77" i="1"/>
  <c r="H76" i="1"/>
  <c r="G76" i="1"/>
  <c r="D76" i="1"/>
  <c r="F76" i="1" s="1"/>
  <c r="I76" i="1" s="1"/>
  <c r="H75" i="1"/>
  <c r="G75" i="1"/>
  <c r="F75" i="1"/>
  <c r="I75" i="1" s="1"/>
  <c r="D75" i="1"/>
  <c r="H74" i="1"/>
  <c r="G74" i="1"/>
  <c r="D74" i="1"/>
  <c r="F74" i="1" s="1"/>
  <c r="H73" i="1"/>
  <c r="G73" i="1"/>
  <c r="E73" i="1"/>
  <c r="D73" i="1"/>
  <c r="H72" i="1"/>
  <c r="D72" i="1"/>
  <c r="F72" i="1" s="1"/>
  <c r="I72" i="1" s="1"/>
  <c r="H71" i="1"/>
  <c r="D71" i="1"/>
  <c r="F71" i="1" s="1"/>
  <c r="I71" i="1" s="1"/>
  <c r="H70" i="1"/>
  <c r="D70" i="1"/>
  <c r="F70" i="1" s="1"/>
  <c r="I70" i="1" s="1"/>
  <c r="F69" i="1"/>
  <c r="I69" i="1" s="1"/>
  <c r="H68" i="1"/>
  <c r="D68" i="1"/>
  <c r="F68" i="1" s="1"/>
  <c r="I68" i="1" s="1"/>
  <c r="H67" i="1"/>
  <c r="D67" i="1"/>
  <c r="F67" i="1" s="1"/>
  <c r="I67" i="1" s="1"/>
  <c r="H66" i="1"/>
  <c r="D66" i="1"/>
  <c r="F66" i="1" s="1"/>
  <c r="I66" i="1" s="1"/>
  <c r="H65" i="1"/>
  <c r="D65" i="1"/>
  <c r="F65" i="1" s="1"/>
  <c r="H64" i="1"/>
  <c r="G64" i="1"/>
  <c r="E64" i="1"/>
  <c r="D64" i="1"/>
  <c r="F63" i="1"/>
  <c r="I63" i="1" s="1"/>
  <c r="F62" i="1"/>
  <c r="I62" i="1" s="1"/>
  <c r="H61" i="1"/>
  <c r="G61" i="1"/>
  <c r="F61" i="1"/>
  <c r="I61" i="1" s="1"/>
  <c r="I60" i="1" s="1"/>
  <c r="D61" i="1"/>
  <c r="H60" i="1"/>
  <c r="G60" i="1"/>
  <c r="F60" i="1"/>
  <c r="E60" i="1"/>
  <c r="D60" i="1"/>
  <c r="F59" i="1"/>
  <c r="I59" i="1" s="1"/>
  <c r="D58" i="1"/>
  <c r="F58" i="1" s="1"/>
  <c r="I58" i="1" s="1"/>
  <c r="D57" i="1"/>
  <c r="F57" i="1" s="1"/>
  <c r="I57" i="1" s="1"/>
  <c r="E56" i="1"/>
  <c r="F56" i="1" s="1"/>
  <c r="I56" i="1" s="1"/>
  <c r="D55" i="1"/>
  <c r="F55" i="1" s="1"/>
  <c r="I55" i="1" s="1"/>
  <c r="D54" i="1"/>
  <c r="F54" i="1" s="1"/>
  <c r="I54" i="1" s="1"/>
  <c r="D53" i="1"/>
  <c r="F53" i="1" s="1"/>
  <c r="I53" i="1" s="1"/>
  <c r="E52" i="1"/>
  <c r="D52" i="1"/>
  <c r="F52" i="1" s="1"/>
  <c r="I52" i="1" s="1"/>
  <c r="E51" i="1"/>
  <c r="D51" i="1"/>
  <c r="F51" i="1" s="1"/>
  <c r="H50" i="1"/>
  <c r="G50" i="1"/>
  <c r="E50" i="1"/>
  <c r="D50" i="1"/>
  <c r="F49" i="1"/>
  <c r="I49" i="1" s="1"/>
  <c r="F48" i="1"/>
  <c r="I48" i="1" s="1"/>
  <c r="F47" i="1"/>
  <c r="I47" i="1" s="1"/>
  <c r="D47" i="1"/>
  <c r="H46" i="1"/>
  <c r="G46" i="1"/>
  <c r="D46" i="1"/>
  <c r="F46" i="1" s="1"/>
  <c r="I46" i="1" s="1"/>
  <c r="G45" i="1"/>
  <c r="F45" i="1"/>
  <c r="I45" i="1" s="1"/>
  <c r="G44" i="1"/>
  <c r="D44" i="1"/>
  <c r="F44" i="1" s="1"/>
  <c r="I44" i="1" s="1"/>
  <c r="G43" i="1"/>
  <c r="D43" i="1"/>
  <c r="F43" i="1" s="1"/>
  <c r="I43" i="1" s="1"/>
  <c r="H42" i="1"/>
  <c r="G42" i="1"/>
  <c r="E42" i="1"/>
  <c r="D42" i="1"/>
  <c r="F42" i="1" s="1"/>
  <c r="I42" i="1" s="1"/>
  <c r="H41" i="1"/>
  <c r="G41" i="1"/>
  <c r="D41" i="1"/>
  <c r="F41" i="1" s="1"/>
  <c r="H40" i="1"/>
  <c r="G40" i="1"/>
  <c r="E40" i="1"/>
  <c r="D40" i="1"/>
  <c r="G39" i="1"/>
  <c r="E39" i="1"/>
  <c r="F39" i="1" s="1"/>
  <c r="I39" i="1" s="1"/>
  <c r="G38" i="1"/>
  <c r="F38" i="1"/>
  <c r="I38" i="1" s="1"/>
  <c r="G37" i="1"/>
  <c r="E37" i="1"/>
  <c r="F37" i="1" s="1"/>
  <c r="I37" i="1" s="1"/>
  <c r="G36" i="1"/>
  <c r="F36" i="1"/>
  <c r="I36" i="1" s="1"/>
  <c r="G35" i="1"/>
  <c r="F35" i="1"/>
  <c r="I35" i="1" s="1"/>
  <c r="E35" i="1"/>
  <c r="G34" i="1"/>
  <c r="F34" i="1"/>
  <c r="I34" i="1" s="1"/>
  <c r="H33" i="1"/>
  <c r="H30" i="1" s="1"/>
  <c r="H11" i="1" s="1"/>
  <c r="H163" i="1" s="1"/>
  <c r="G33" i="1"/>
  <c r="E33" i="1"/>
  <c r="D33" i="1"/>
  <c r="F33" i="1" s="1"/>
  <c r="I33" i="1" s="1"/>
  <c r="G32" i="1"/>
  <c r="D32" i="1"/>
  <c r="F32" i="1" s="1"/>
  <c r="I32" i="1" s="1"/>
  <c r="G31" i="1"/>
  <c r="E31" i="1"/>
  <c r="D31" i="1"/>
  <c r="F31" i="1" s="1"/>
  <c r="G30" i="1"/>
  <c r="E30" i="1"/>
  <c r="G29" i="1"/>
  <c r="F29" i="1"/>
  <c r="I29" i="1" s="1"/>
  <c r="E29" i="1"/>
  <c r="G28" i="1"/>
  <c r="F28" i="1"/>
  <c r="I28" i="1" s="1"/>
  <c r="E28" i="1"/>
  <c r="G27" i="1"/>
  <c r="E27" i="1"/>
  <c r="D27" i="1"/>
  <c r="F27" i="1" s="1"/>
  <c r="I27" i="1" s="1"/>
  <c r="G26" i="1"/>
  <c r="E26" i="1"/>
  <c r="F26" i="1" s="1"/>
  <c r="I26" i="1" s="1"/>
  <c r="G25" i="1"/>
  <c r="D25" i="1"/>
  <c r="F25" i="1" s="1"/>
  <c r="I25" i="1" s="1"/>
  <c r="G24" i="1"/>
  <c r="E24" i="1"/>
  <c r="D24" i="1"/>
  <c r="F24" i="1" s="1"/>
  <c r="I24" i="1" s="1"/>
  <c r="G23" i="1"/>
  <c r="F23" i="1"/>
  <c r="I23" i="1" s="1"/>
  <c r="D23" i="1"/>
  <c r="G22" i="1"/>
  <c r="E22" i="1"/>
  <c r="D22" i="1"/>
  <c r="F22" i="1" s="1"/>
  <c r="I22" i="1" s="1"/>
  <c r="G21" i="1"/>
  <c r="E21" i="1"/>
  <c r="D21" i="1"/>
  <c r="F21" i="1" s="1"/>
  <c r="H20" i="1"/>
  <c r="G20" i="1"/>
  <c r="E20" i="1"/>
  <c r="H19" i="1"/>
  <c r="G19" i="1"/>
  <c r="E19" i="1"/>
  <c r="D19" i="1"/>
  <c r="F19" i="1" s="1"/>
  <c r="I19" i="1" s="1"/>
  <c r="H18" i="1"/>
  <c r="G18" i="1"/>
  <c r="E18" i="1"/>
  <c r="D18" i="1"/>
  <c r="F18" i="1" s="1"/>
  <c r="I18" i="1" s="1"/>
  <c r="H17" i="1"/>
  <c r="G17" i="1"/>
  <c r="E17" i="1"/>
  <c r="D17" i="1"/>
  <c r="F17" i="1" s="1"/>
  <c r="I17" i="1" s="1"/>
  <c r="H16" i="1"/>
  <c r="G16" i="1"/>
  <c r="E16" i="1"/>
  <c r="D16" i="1"/>
  <c r="F16" i="1" s="1"/>
  <c r="I16" i="1" s="1"/>
  <c r="H15" i="1"/>
  <c r="G15" i="1"/>
  <c r="E15" i="1"/>
  <c r="D15" i="1"/>
  <c r="F15" i="1" s="1"/>
  <c r="I15" i="1" s="1"/>
  <c r="H14" i="1"/>
  <c r="G14" i="1"/>
  <c r="E14" i="1"/>
  <c r="D14" i="1"/>
  <c r="F14" i="1" s="1"/>
  <c r="I14" i="1" s="1"/>
  <c r="H13" i="1"/>
  <c r="G13" i="1"/>
  <c r="E13" i="1"/>
  <c r="D13" i="1"/>
  <c r="F13" i="1" s="1"/>
  <c r="H12" i="1"/>
  <c r="G12" i="1"/>
  <c r="E12" i="1"/>
  <c r="D12" i="1"/>
  <c r="G11" i="1"/>
  <c r="G163" i="1" s="1"/>
  <c r="E11" i="1"/>
  <c r="E163" i="1" s="1"/>
  <c r="I31" i="1" l="1"/>
  <c r="I30" i="1" s="1"/>
  <c r="F30" i="1"/>
  <c r="I13" i="1"/>
  <c r="F12" i="1"/>
  <c r="I21" i="1"/>
  <c r="I20" i="1" s="1"/>
  <c r="F20" i="1"/>
  <c r="D20" i="1"/>
  <c r="D11" i="1" s="1"/>
  <c r="D163" i="1" s="1"/>
  <c r="D30" i="1"/>
  <c r="I41" i="1"/>
  <c r="I40" i="1" s="1"/>
  <c r="F40" i="1"/>
  <c r="F50" i="1"/>
  <c r="I50" i="1" s="1"/>
  <c r="I51" i="1"/>
  <c r="I65" i="1"/>
  <c r="I64" i="1" s="1"/>
  <c r="F64" i="1"/>
  <c r="I117" i="1"/>
  <c r="I88" i="1" s="1"/>
  <c r="I74" i="1"/>
  <c r="I73" i="1" s="1"/>
  <c r="F73" i="1"/>
  <c r="F117" i="1"/>
  <c r="F88" i="1" s="1"/>
  <c r="I123" i="1"/>
  <c r="I12" i="1" l="1"/>
  <c r="I11" i="1" s="1"/>
  <c r="I163" i="1" s="1"/>
  <c r="F11" i="1"/>
  <c r="F163" i="1" s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<sst xmlns="http://schemas.openxmlformats.org/spreadsheetml/2006/main" count="165" uniqueCount="92">
  <si>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</si>
  <si>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</si>
  <si>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Sector Central del Poder Ejecutivo del Estado Libre y Soberano de México</t>
  </si>
  <si>
    <t>Estado Analítico del Ejercicio del Presupuesto de Egresos Detallado - LDF</t>
  </si>
  <si>
    <t xml:space="preserve">Clasificación por Objeto del Gasto (Capítulo y Concepto) </t>
  </si>
  <si>
    <t>Del 1 de Enero al 30 de Junio de 2023</t>
  </si>
  <si>
    <t>Cifras Preliminares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</si>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</sst>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.5"/>
      <color theme="1"/>
      <name val="Arial"/>
      <family val="2"/>
    </font>
    <font>
      <b/>
      <sz val="6.5"/>
      <color theme="1"/>
      <name val="Calibri"/>
      <family val="2"/>
      <scheme val="minor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vertical="center"/>
    </xf>
    <xf numFmtId="43" fontId="0" fillId="0" borderId="0" xfId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4" xfId="0" applyNumberFormat="1" applyFont="1" applyBorder="1"/>
    <xf numFmtId="164" fontId="0" fillId="0" borderId="0" xfId="0" applyNumberFormat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5" fillId="0" borderId="7" xfId="0" applyNumberFormat="1" applyFont="1" applyBorder="1"/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7" xfId="0" applyNumberFormat="1" applyFont="1" applyBorder="1"/>
    <xf numFmtId="164" fontId="7" fillId="0" borderId="0" xfId="0" applyNumberFormat="1" applyFont="1"/>
    <xf numFmtId="43" fontId="2" fillId="0" borderId="0" xfId="1" applyFont="1"/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64" fontId="7" fillId="0" borderId="10" xfId="0" applyNumberFormat="1" applyFont="1" applyBorder="1"/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7" fillId="0" borderId="4" xfId="0" applyNumberFormat="1" applyFont="1" applyBorder="1"/>
    <xf numFmtId="43" fontId="0" fillId="0" borderId="0" xfId="0" applyNumberFormat="1"/>
    <xf numFmtId="164" fontId="4" fillId="0" borderId="10" xfId="1" applyNumberFormat="1" applyFont="1" applyFill="1" applyBorder="1" applyAlignment="1">
      <alignment horizontal="center" vertical="center"/>
    </xf>
    <xf numFmtId="43" fontId="8" fillId="0" borderId="0" xfId="1" applyFont="1"/>
    <xf numFmtId="43" fontId="0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Jun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JUNIO"/>
      <sheetName val="Formato 3 OA LDF JUNIO "/>
      <sheetName val="Formato 3 SC LDF JUNIO"/>
      <sheetName val="FORMATO 4 LDF JUNIO "/>
      <sheetName val="FORMATO 5 LDF JUNIO"/>
      <sheetName val="FORMATO 6a LDF JUN "/>
      <sheetName val="FORMATO 6b LDF JUN "/>
      <sheetName val="Formato 6c DEF"/>
      <sheetName val="Formato 6d LDF JUN 202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2F4EE-86BB-4A61-9F31-3286EAB91249}">
  <sheetPr>
    <tabColor theme="9"/>
  </sheetPr>
  <dimension ref="B1:O180"/>
  <sheetViews>
    <sheetView showGridLines="0" tabSelected="1" zoomScale="130" zoomScaleNormal="130" workbookViewId="0"/>
  </sheetViews>
  <sheetFormatPr baseColWidth="10" defaultColWidth="11.42578125" defaultRowHeight="15" x14ac:dyDescent="0.25"/>
  <cols>
    <col min="1" max="1" width="3" customWidth="1"/>
    <col min="2" max="2" width="3.140625" customWidth="1"/>
    <col min="3" max="3" width="41.5703125" customWidth="1"/>
    <col min="4" max="4" width="11.140625" style="12" bestFit="1" customWidth="1"/>
    <col min="5" max="5" width="11.85546875" style="12" bestFit="1" customWidth="1"/>
    <col min="6" max="6" width="10.85546875" style="12" bestFit="1" customWidth="1"/>
    <col min="7" max="7" width="14.28515625" style="12" customWidth="1"/>
    <col min="8" max="9" width="12.7109375" style="12" bestFit="1" customWidth="1"/>
    <col min="10" max="10" width="7.7109375" style="2" customWidth="1"/>
    <col min="11" max="11" width="17.140625" customWidth="1"/>
    <col min="12" max="12" width="15.140625" bestFit="1" customWidth="1"/>
    <col min="13" max="13" width="14.140625" bestFit="1" customWidth="1"/>
    <col min="15" max="15" width="12.7109375" bestFit="1" customWidth="1"/>
  </cols>
  <sheetData>
    <row r="1" spans="2:15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15" x14ac:dyDescent="0.25">
      <c r="B2" s="3" t="s">
        <v>1</v>
      </c>
      <c r="C2" s="3"/>
      <c r="D2" s="3"/>
      <c r="E2" s="3"/>
      <c r="F2" s="3"/>
      <c r="G2" s="3"/>
      <c r="H2" s="3"/>
      <c r="I2" s="3"/>
    </row>
    <row r="3" spans="2:15" ht="12" customHeight="1" x14ac:dyDescent="0.25">
      <c r="B3" s="4" t="s">
        <v>2</v>
      </c>
      <c r="C3" s="4"/>
      <c r="D3" s="4"/>
      <c r="E3" s="4"/>
      <c r="F3" s="4"/>
      <c r="G3" s="4"/>
      <c r="H3" s="4"/>
      <c r="I3" s="4"/>
    </row>
    <row r="4" spans="2:15" ht="12" customHeight="1" x14ac:dyDescent="0.25">
      <c r="B4" s="4" t="s">
        <v>3</v>
      </c>
      <c r="C4" s="4"/>
      <c r="D4" s="4"/>
      <c r="E4" s="4"/>
      <c r="F4" s="4"/>
      <c r="G4" s="4"/>
      <c r="H4" s="4"/>
      <c r="I4" s="4"/>
    </row>
    <row r="5" spans="2:15" ht="12" customHeight="1" x14ac:dyDescent="0.25">
      <c r="B5" s="4" t="s">
        <v>4</v>
      </c>
      <c r="C5" s="4"/>
      <c r="D5" s="4"/>
      <c r="E5" s="4"/>
      <c r="F5" s="4"/>
      <c r="G5" s="4"/>
      <c r="H5" s="4"/>
      <c r="I5" s="4"/>
    </row>
    <row r="6" spans="2:15" ht="12" customHeight="1" x14ac:dyDescent="0.25">
      <c r="B6" s="4" t="s">
        <v>5</v>
      </c>
      <c r="C6" s="4"/>
      <c r="D6" s="4"/>
      <c r="E6" s="4"/>
      <c r="F6" s="4"/>
      <c r="G6" s="4"/>
      <c r="H6" s="4"/>
      <c r="I6" s="4"/>
    </row>
    <row r="7" spans="2:15" ht="12" customHeight="1" x14ac:dyDescent="0.25">
      <c r="B7" s="4" t="s">
        <v>6</v>
      </c>
      <c r="C7" s="4"/>
      <c r="D7" s="4"/>
      <c r="E7" s="4"/>
      <c r="F7" s="4"/>
      <c r="G7" s="4"/>
      <c r="H7" s="4"/>
      <c r="I7" s="4"/>
    </row>
    <row r="8" spans="2:15" ht="12" customHeight="1" x14ac:dyDescent="0.25">
      <c r="B8" s="4" t="s">
        <v>7</v>
      </c>
      <c r="C8" s="4"/>
      <c r="D8" s="4"/>
      <c r="E8" s="4"/>
      <c r="F8" s="4"/>
      <c r="G8" s="4"/>
      <c r="H8" s="4"/>
      <c r="I8" s="4"/>
    </row>
    <row r="9" spans="2:15" x14ac:dyDescent="0.25">
      <c r="B9" s="5" t="s">
        <v>8</v>
      </c>
      <c r="C9" s="5"/>
      <c r="D9" s="6" t="s">
        <v>9</v>
      </c>
      <c r="E9" s="6"/>
      <c r="F9" s="6"/>
      <c r="G9" s="6"/>
      <c r="H9" s="6"/>
      <c r="I9" s="6" t="s">
        <v>10</v>
      </c>
    </row>
    <row r="10" spans="2:15" ht="18" x14ac:dyDescent="0.25">
      <c r="B10" s="5"/>
      <c r="C10" s="5"/>
      <c r="D10" s="7" t="s">
        <v>11</v>
      </c>
      <c r="E10" s="8" t="s">
        <v>12</v>
      </c>
      <c r="F10" s="7" t="s">
        <v>13</v>
      </c>
      <c r="G10" s="7" t="s">
        <v>14</v>
      </c>
      <c r="H10" s="7" t="s">
        <v>15</v>
      </c>
      <c r="I10" s="6"/>
    </row>
    <row r="11" spans="2:15" x14ac:dyDescent="0.25">
      <c r="B11" s="9" t="s">
        <v>16</v>
      </c>
      <c r="C11" s="10"/>
      <c r="D11" s="11">
        <f t="shared" ref="D11:I11" si="0">+D12+D20+D30+D40+D50+D60+D64+D73+D77</f>
        <v>196352341.92399999</v>
      </c>
      <c r="E11" s="11">
        <f t="shared" si="0"/>
        <v>3557214.8842500006</v>
      </c>
      <c r="F11" s="11">
        <f t="shared" si="0"/>
        <v>199909556.80825001</v>
      </c>
      <c r="G11" s="11">
        <f t="shared" si="0"/>
        <v>104319757.21562999</v>
      </c>
      <c r="H11" s="11">
        <f t="shared" si="0"/>
        <v>102403785.44617997</v>
      </c>
      <c r="I11" s="11">
        <f t="shared" si="0"/>
        <v>95589799.592619956</v>
      </c>
      <c r="K11" s="12"/>
      <c r="L11" s="12"/>
      <c r="M11" s="12"/>
      <c r="N11" s="12"/>
      <c r="O11" s="12"/>
    </row>
    <row r="12" spans="2:15" x14ac:dyDescent="0.25">
      <c r="B12" s="13" t="s">
        <v>17</v>
      </c>
      <c r="C12" s="14"/>
      <c r="D12" s="15">
        <f>SUM(D13:D19)</f>
        <v>58552166.574000001</v>
      </c>
      <c r="E12" s="15">
        <f>SUM(E13:E19)</f>
        <v>-337276.70681999996</v>
      </c>
      <c r="F12" s="15">
        <f>SUM(F13:F19)</f>
        <v>58214889.867179997</v>
      </c>
      <c r="G12" s="15">
        <f>SUM(G13:G19)</f>
        <v>25280065.297499999</v>
      </c>
      <c r="H12" s="15">
        <f>SUM(H13:H19)</f>
        <v>25280065.297499999</v>
      </c>
      <c r="I12" s="15">
        <f t="shared" ref="I12:I19" si="1">+F12-G12</f>
        <v>32934824.569679998</v>
      </c>
      <c r="K12" s="2"/>
      <c r="L12" s="2"/>
    </row>
    <row r="13" spans="2:15" ht="10.5" customHeight="1" x14ac:dyDescent="0.25">
      <c r="B13" s="16"/>
      <c r="C13" s="17" t="s">
        <v>18</v>
      </c>
      <c r="D13" s="18">
        <f>29459601.25261-D90</f>
        <v>17126763.499609999</v>
      </c>
      <c r="E13" s="18">
        <f>+-157436.41082-E90</f>
        <v>-157436.41081999999</v>
      </c>
      <c r="F13" s="18">
        <f t="shared" ref="F13:F19" si="2">+D13+E13</f>
        <v>16969327.088789999</v>
      </c>
      <c r="G13" s="18">
        <f>13500197.1892-G90</f>
        <v>7259529.2777600009</v>
      </c>
      <c r="H13" s="18">
        <f>13500197.1892-H90</f>
        <v>7259529.2777600009</v>
      </c>
      <c r="I13" s="18">
        <f t="shared" si="1"/>
        <v>9709797.8110299986</v>
      </c>
      <c r="K13" s="19"/>
      <c r="L13" s="2"/>
    </row>
    <row r="14" spans="2:15" ht="10.5" customHeight="1" x14ac:dyDescent="0.25">
      <c r="B14" s="16"/>
      <c r="C14" s="17" t="s">
        <v>19</v>
      </c>
      <c r="D14" s="18">
        <f>1458612.73466-D91</f>
        <v>1458612.7346600001</v>
      </c>
      <c r="E14" s="18">
        <f>+-60033.52003-E91</f>
        <v>-115861.16326</v>
      </c>
      <c r="F14" s="18">
        <f t="shared" si="2"/>
        <v>1342751.5714</v>
      </c>
      <c r="G14" s="18">
        <f>450796.92088-G91</f>
        <v>450796.92087999999</v>
      </c>
      <c r="H14" s="18">
        <f>450796.92088-H91</f>
        <v>450796.92087999999</v>
      </c>
      <c r="I14" s="18">
        <f t="shared" si="1"/>
        <v>891954.65052000002</v>
      </c>
      <c r="L14" s="2"/>
    </row>
    <row r="15" spans="2:15" ht="10.5" customHeight="1" x14ac:dyDescent="0.25">
      <c r="B15" s="16"/>
      <c r="C15" s="17" t="s">
        <v>20</v>
      </c>
      <c r="D15" s="18">
        <f>21685108.19001-D92</f>
        <v>19644003.501010001</v>
      </c>
      <c r="E15" s="18">
        <f>+-35406.38447-E92</f>
        <v>-48388.00346</v>
      </c>
      <c r="F15" s="18">
        <f t="shared" si="2"/>
        <v>19595615.49755</v>
      </c>
      <c r="G15" s="18">
        <f>9867948.70816-G92</f>
        <v>8767559.5631600004</v>
      </c>
      <c r="H15" s="18">
        <f>9867948.70816-H92</f>
        <v>8767559.5631600004</v>
      </c>
      <c r="I15" s="18">
        <f t="shared" si="1"/>
        <v>10828055.934389999</v>
      </c>
      <c r="L15" s="2"/>
    </row>
    <row r="16" spans="2:15" ht="10.5" customHeight="1" x14ac:dyDescent="0.25">
      <c r="B16" s="16"/>
      <c r="C16" s="17" t="s">
        <v>21</v>
      </c>
      <c r="D16" s="18">
        <f>11230811.31556-D93</f>
        <v>10558917.04556</v>
      </c>
      <c r="E16" s="18">
        <f>2828.74269000001-E93</f>
        <v>-12827.144509999991</v>
      </c>
      <c r="F16" s="18">
        <f t="shared" si="2"/>
        <v>10546089.901050001</v>
      </c>
      <c r="G16" s="18">
        <f>5240779.43403-G93</f>
        <v>4854206.0060299998</v>
      </c>
      <c r="H16" s="18">
        <f>5240779.43403-H93</f>
        <v>4854206.0060299998</v>
      </c>
      <c r="I16" s="18">
        <f t="shared" si="1"/>
        <v>5691883.8950200016</v>
      </c>
      <c r="L16" s="2"/>
    </row>
    <row r="17" spans="2:12" ht="10.5" customHeight="1" x14ac:dyDescent="0.25">
      <c r="B17" s="16"/>
      <c r="C17" s="17" t="s">
        <v>22</v>
      </c>
      <c r="D17" s="18">
        <f>10837741.7505-D94</f>
        <v>9447893.4064999986</v>
      </c>
      <c r="E17" s="18">
        <f>+-1532.10886-E94</f>
        <v>-1532.10886</v>
      </c>
      <c r="F17" s="18">
        <f t="shared" si="2"/>
        <v>9446361.2976399995</v>
      </c>
      <c r="G17" s="18">
        <f>4177320.17801-G94</f>
        <v>3861107.2000099998</v>
      </c>
      <c r="H17" s="18">
        <f>4177320.17801-H94</f>
        <v>3861107.2000099998</v>
      </c>
      <c r="I17" s="18">
        <f t="shared" si="1"/>
        <v>5585254.0976299997</v>
      </c>
      <c r="L17" s="2"/>
    </row>
    <row r="18" spans="2:12" ht="10.5" customHeight="1" x14ac:dyDescent="0.25">
      <c r="B18" s="16"/>
      <c r="C18" s="17" t="s">
        <v>23</v>
      </c>
      <c r="D18" s="18">
        <f>0-D95</f>
        <v>0</v>
      </c>
      <c r="E18" s="18">
        <f>0-E95</f>
        <v>0</v>
      </c>
      <c r="F18" s="18">
        <f>+D18+E18</f>
        <v>0</v>
      </c>
      <c r="G18" s="18">
        <f>0-G95</f>
        <v>0</v>
      </c>
      <c r="H18" s="18">
        <f>0-H95</f>
        <v>0</v>
      </c>
      <c r="I18" s="18">
        <f t="shared" si="1"/>
        <v>0</v>
      </c>
    </row>
    <row r="19" spans="2:12" ht="10.5" customHeight="1" x14ac:dyDescent="0.25">
      <c r="B19" s="16"/>
      <c r="C19" s="17" t="s">
        <v>24</v>
      </c>
      <c r="D19" s="18">
        <f>315976.38666-D96</f>
        <v>315976.38666000002</v>
      </c>
      <c r="E19" s="18">
        <f>+-1231.87591-E96</f>
        <v>-1231.87591</v>
      </c>
      <c r="F19" s="18">
        <f t="shared" si="2"/>
        <v>314744.51075000002</v>
      </c>
      <c r="G19" s="18">
        <f>86866.32966-G96</f>
        <v>86866.329660000003</v>
      </c>
      <c r="H19" s="18">
        <f>86866.32966-H96</f>
        <v>86866.329660000003</v>
      </c>
      <c r="I19" s="18">
        <f t="shared" si="1"/>
        <v>227878.18109000003</v>
      </c>
    </row>
    <row r="20" spans="2:12" x14ac:dyDescent="0.25">
      <c r="B20" s="13" t="s">
        <v>25</v>
      </c>
      <c r="C20" s="14"/>
      <c r="D20" s="15">
        <f t="shared" ref="D20:I20" si="3">SUM(D21:D29)</f>
        <v>2681900.7940000002</v>
      </c>
      <c r="E20" s="15">
        <f t="shared" si="3"/>
        <v>134731.81628999999</v>
      </c>
      <c r="F20" s="15">
        <f t="shared" si="3"/>
        <v>2816632.6102899997</v>
      </c>
      <c r="G20" s="15">
        <f t="shared" si="3"/>
        <v>911438.48351000005</v>
      </c>
      <c r="H20" s="15">
        <f t="shared" si="3"/>
        <v>908091.76565000007</v>
      </c>
      <c r="I20" s="15">
        <f t="shared" si="3"/>
        <v>1905194.1267799996</v>
      </c>
    </row>
    <row r="21" spans="2:12" ht="10.5" customHeight="1" x14ac:dyDescent="0.25">
      <c r="B21" s="16"/>
      <c r="C21" s="17" t="s">
        <v>26</v>
      </c>
      <c r="D21" s="19">
        <f>387835.14873-D98</f>
        <v>386836.99872999999</v>
      </c>
      <c r="E21" s="18">
        <f>+-124084.87124-E98</f>
        <v>-124320.23345999999</v>
      </c>
      <c r="F21" s="18">
        <f t="shared" ref="F21:F29" si="4">+D21+E21</f>
        <v>262516.76526999997</v>
      </c>
      <c r="G21" s="18">
        <f>72249.43893-G98</f>
        <v>72249.438930000004</v>
      </c>
      <c r="H21" s="18">
        <v>70680.402489999993</v>
      </c>
      <c r="I21" s="18">
        <f t="shared" ref="I21:I29" si="5">+F21-G21</f>
        <v>190267.32633999997</v>
      </c>
    </row>
    <row r="22" spans="2:12" ht="10.5" customHeight="1" x14ac:dyDescent="0.25">
      <c r="B22" s="16"/>
      <c r="C22" s="17" t="s">
        <v>27</v>
      </c>
      <c r="D22" s="19">
        <f>1520903.09177-D99</f>
        <v>1520658.55577</v>
      </c>
      <c r="E22" s="18">
        <f>139696.96393-E99</f>
        <v>139696.96393</v>
      </c>
      <c r="F22" s="18">
        <f t="shared" si="4"/>
        <v>1660355.5197000001</v>
      </c>
      <c r="G22" s="18">
        <f>588081.19485-G99</f>
        <v>588081.19484999997</v>
      </c>
      <c r="H22" s="18">
        <v>587765.88870000001</v>
      </c>
      <c r="I22" s="18">
        <f t="shared" si="5"/>
        <v>1072274.32485</v>
      </c>
    </row>
    <row r="23" spans="2:12" ht="10.5" customHeight="1" x14ac:dyDescent="0.25">
      <c r="B23" s="16"/>
      <c r="C23" s="17" t="s">
        <v>28</v>
      </c>
      <c r="D23" s="19">
        <f>387.6626-D100</f>
        <v>387.6626</v>
      </c>
      <c r="E23" s="18">
        <v>-48.870479999999993</v>
      </c>
      <c r="F23" s="18">
        <f t="shared" si="4"/>
        <v>338.79212000000001</v>
      </c>
      <c r="G23" s="18">
        <f>72.34851-G100</f>
        <v>72.348510000000005</v>
      </c>
      <c r="H23" s="18">
        <v>72.34850999999999</v>
      </c>
      <c r="I23" s="18">
        <f>+F23-G23</f>
        <v>266.44361000000004</v>
      </c>
    </row>
    <row r="24" spans="2:12" ht="10.5" customHeight="1" x14ac:dyDescent="0.25">
      <c r="B24" s="16"/>
      <c r="C24" s="17" t="s">
        <v>29</v>
      </c>
      <c r="D24" s="19">
        <f>70078.04716-D101</f>
        <v>70074.047160000002</v>
      </c>
      <c r="E24" s="18">
        <f>165620.18806-E101</f>
        <v>163620.18805999999</v>
      </c>
      <c r="F24" s="18">
        <f t="shared" si="4"/>
        <v>233694.23521999997</v>
      </c>
      <c r="G24" s="18">
        <f>39787.4684-G101</f>
        <v>39787.468399999998</v>
      </c>
      <c r="H24" s="18">
        <v>39675.577920000003</v>
      </c>
      <c r="I24" s="18">
        <f t="shared" si="5"/>
        <v>193906.76681999996</v>
      </c>
    </row>
    <row r="25" spans="2:12" ht="10.5" customHeight="1" x14ac:dyDescent="0.25">
      <c r="B25" s="16"/>
      <c r="C25" s="17" t="s">
        <v>30</v>
      </c>
      <c r="D25" s="19">
        <f>30900.08285-D102</f>
        <v>30802.78585</v>
      </c>
      <c r="E25" s="18">
        <v>1188.7860100000003</v>
      </c>
      <c r="F25" s="18">
        <f t="shared" si="4"/>
        <v>31991.57186</v>
      </c>
      <c r="G25" s="18">
        <f>6557.68815-G102</f>
        <v>6557.68815</v>
      </c>
      <c r="H25" s="18">
        <v>6546.04475</v>
      </c>
      <c r="I25" s="18">
        <f t="shared" si="5"/>
        <v>25433.883710000002</v>
      </c>
    </row>
    <row r="26" spans="2:12" ht="10.5" customHeight="1" x14ac:dyDescent="0.25">
      <c r="B26" s="16"/>
      <c r="C26" s="17" t="s">
        <v>31</v>
      </c>
      <c r="D26" s="19">
        <v>476728.30835000001</v>
      </c>
      <c r="E26" s="18">
        <f>+-4301.93422-E103</f>
        <v>-4951.9342200000001</v>
      </c>
      <c r="F26" s="18">
        <f t="shared" si="4"/>
        <v>471776.37413000001</v>
      </c>
      <c r="G26" s="18">
        <f>174017.74125-G103</f>
        <v>174017.74124999999</v>
      </c>
      <c r="H26" s="18">
        <v>172754.4094</v>
      </c>
      <c r="I26" s="18">
        <f t="shared" si="5"/>
        <v>297758.63288000005</v>
      </c>
    </row>
    <row r="27" spans="2:12" ht="10.5" customHeight="1" x14ac:dyDescent="0.25">
      <c r="B27" s="16"/>
      <c r="C27" s="17" t="s">
        <v>32</v>
      </c>
      <c r="D27" s="19">
        <f>103162.67667-D104</f>
        <v>102670.01467</v>
      </c>
      <c r="E27" s="18">
        <f>130588.60413-E104</f>
        <v>-16802.358670000001</v>
      </c>
      <c r="F27" s="18">
        <f t="shared" si="4"/>
        <v>85867.656000000003</v>
      </c>
      <c r="G27" s="18">
        <f>12829.8928-G104</f>
        <v>12829.8928</v>
      </c>
      <c r="H27" s="18">
        <v>12812.292800000001</v>
      </c>
      <c r="I27" s="18">
        <f t="shared" si="5"/>
        <v>73037.763200000001</v>
      </c>
    </row>
    <row r="28" spans="2:12" ht="10.5" customHeight="1" x14ac:dyDescent="0.25">
      <c r="B28" s="16"/>
      <c r="C28" s="17" t="s">
        <v>33</v>
      </c>
      <c r="D28" s="19">
        <v>43546.711280000003</v>
      </c>
      <c r="E28" s="18">
        <f>28848.95718-E105</f>
        <v>-24950.654160000002</v>
      </c>
      <c r="F28" s="18">
        <f t="shared" si="4"/>
        <v>18596.057120000001</v>
      </c>
      <c r="G28" s="18">
        <f>159.9358-G105</f>
        <v>159.9358</v>
      </c>
      <c r="H28" s="18">
        <v>159.9358</v>
      </c>
      <c r="I28" s="18">
        <f t="shared" si="5"/>
        <v>18436.121320000002</v>
      </c>
    </row>
    <row r="29" spans="2:12" ht="10.5" customHeight="1" x14ac:dyDescent="0.25">
      <c r="B29" s="16"/>
      <c r="C29" s="17" t="s">
        <v>34</v>
      </c>
      <c r="D29" s="19">
        <v>50195.709590000006</v>
      </c>
      <c r="E29" s="18">
        <f>1378.69348-E106</f>
        <v>1299.9292799999998</v>
      </c>
      <c r="F29" s="18">
        <f t="shared" si="4"/>
        <v>51495.638870000002</v>
      </c>
      <c r="G29" s="18">
        <f>17682.77482-G106</f>
        <v>17682.774819999999</v>
      </c>
      <c r="H29" s="18">
        <v>17624.865280000002</v>
      </c>
      <c r="I29" s="18">
        <f t="shared" si="5"/>
        <v>33812.864050000004</v>
      </c>
    </row>
    <row r="30" spans="2:12" x14ac:dyDescent="0.25">
      <c r="B30" s="13" t="s">
        <v>35</v>
      </c>
      <c r="C30" s="14"/>
      <c r="D30" s="15">
        <f t="shared" ref="D30:I30" si="6">SUM(D31:D39)</f>
        <v>12275669.271000002</v>
      </c>
      <c r="E30" s="15">
        <f t="shared" si="6"/>
        <v>1726060.8063300001</v>
      </c>
      <c r="F30" s="15">
        <f t="shared" si="6"/>
        <v>14001730.077330001</v>
      </c>
      <c r="G30" s="15">
        <f t="shared" si="6"/>
        <v>6090564.5981300008</v>
      </c>
      <c r="H30" s="15">
        <f t="shared" si="6"/>
        <v>6074128.0237700008</v>
      </c>
      <c r="I30" s="15">
        <f t="shared" si="6"/>
        <v>7911165.4791999981</v>
      </c>
    </row>
    <row r="31" spans="2:12" ht="10.5" customHeight="1" x14ac:dyDescent="0.25">
      <c r="B31" s="16"/>
      <c r="C31" s="17" t="s">
        <v>36</v>
      </c>
      <c r="D31" s="19">
        <f>827527.43178-D108</f>
        <v>827515.09577999997</v>
      </c>
      <c r="E31" s="18">
        <f>43557.10299-E108</f>
        <v>26309.897989999998</v>
      </c>
      <c r="F31" s="18">
        <f t="shared" ref="F31:F39" si="7">+D31+E31</f>
        <v>853824.99376999994</v>
      </c>
      <c r="G31" s="18">
        <f>309792.37264-G108</f>
        <v>309792.37264000002</v>
      </c>
      <c r="H31" s="18">
        <v>307462.74291999999</v>
      </c>
      <c r="I31" s="18">
        <f t="shared" ref="I31:I39" si="8">+F31-G31</f>
        <v>544032.62112999987</v>
      </c>
    </row>
    <row r="32" spans="2:12" ht="10.5" customHeight="1" x14ac:dyDescent="0.25">
      <c r="B32" s="16"/>
      <c r="C32" s="17" t="s">
        <v>37</v>
      </c>
      <c r="D32" s="19">
        <f>1544942.88179-D109</f>
        <v>1544816.0487899999</v>
      </c>
      <c r="E32" s="18">
        <v>8184.4181199999975</v>
      </c>
      <c r="F32" s="18">
        <f>+D32+E32</f>
        <v>1553000.46691</v>
      </c>
      <c r="G32" s="18">
        <f>546366.94158-G109</f>
        <v>546366.94157999998</v>
      </c>
      <c r="H32" s="18">
        <v>540368.35496000003</v>
      </c>
      <c r="I32" s="18">
        <f t="shared" si="8"/>
        <v>1006633.52533</v>
      </c>
    </row>
    <row r="33" spans="2:9" ht="10.5" customHeight="1" x14ac:dyDescent="0.25">
      <c r="B33" s="16"/>
      <c r="C33" s="17" t="s">
        <v>38</v>
      </c>
      <c r="D33" s="19">
        <f>1976577.71469-D110</f>
        <v>1945126.84769</v>
      </c>
      <c r="E33" s="18">
        <f>556226.73336-E110</f>
        <v>520249.78335999994</v>
      </c>
      <c r="F33" s="18">
        <f t="shared" si="7"/>
        <v>2465376.63105</v>
      </c>
      <c r="G33" s="18">
        <f>805725.69836-G110</f>
        <v>774943.41690000007</v>
      </c>
      <c r="H33" s="18">
        <f>803263.52481-H110</f>
        <v>772481.24335</v>
      </c>
      <c r="I33" s="18">
        <f t="shared" si="8"/>
        <v>1690433.2141499999</v>
      </c>
    </row>
    <row r="34" spans="2:9" ht="10.5" customHeight="1" x14ac:dyDescent="0.25">
      <c r="B34" s="16"/>
      <c r="C34" s="17" t="s">
        <v>39</v>
      </c>
      <c r="D34" s="19">
        <v>849656.83076000004</v>
      </c>
      <c r="E34" s="18">
        <v>330671.15774</v>
      </c>
      <c r="F34" s="18">
        <f t="shared" si="7"/>
        <v>1180327.9885</v>
      </c>
      <c r="G34" s="18">
        <f>646607.08368-G111</f>
        <v>646607.08368000004</v>
      </c>
      <c r="H34" s="18">
        <v>646529.37297999999</v>
      </c>
      <c r="I34" s="18">
        <f t="shared" si="8"/>
        <v>533720.90481999994</v>
      </c>
    </row>
    <row r="35" spans="2:9" ht="10.5" customHeight="1" x14ac:dyDescent="0.25">
      <c r="B35" s="16"/>
      <c r="C35" s="17" t="s">
        <v>40</v>
      </c>
      <c r="D35" s="19">
        <v>1298914.14154</v>
      </c>
      <c r="E35" s="18">
        <f>114177.84596-E112</f>
        <v>54418.460850000003</v>
      </c>
      <c r="F35" s="18">
        <f t="shared" si="7"/>
        <v>1353332.6023899999</v>
      </c>
      <c r="G35" s="18">
        <f>822940.45037-G112</f>
        <v>822940.45036999998</v>
      </c>
      <c r="H35" s="18">
        <v>817747.11641000002</v>
      </c>
      <c r="I35" s="18">
        <f t="shared" si="8"/>
        <v>530392.15201999992</v>
      </c>
    </row>
    <row r="36" spans="2:9" ht="10.5" customHeight="1" x14ac:dyDescent="0.25">
      <c r="B36" s="16"/>
      <c r="C36" s="17" t="s">
        <v>41</v>
      </c>
      <c r="D36" s="19">
        <v>358717.09593999997</v>
      </c>
      <c r="E36" s="18">
        <v>618996.72103000002</v>
      </c>
      <c r="F36" s="18">
        <f t="shared" si="7"/>
        <v>977713.81697000004</v>
      </c>
      <c r="G36" s="18">
        <f>428935.45722-G113</f>
        <v>428935.45721999998</v>
      </c>
      <c r="H36" s="18">
        <v>428890.69022000005</v>
      </c>
      <c r="I36" s="18">
        <f t="shared" si="8"/>
        <v>548778.35975000006</v>
      </c>
    </row>
    <row r="37" spans="2:9" ht="10.5" customHeight="1" x14ac:dyDescent="0.25">
      <c r="B37" s="16"/>
      <c r="C37" s="17" t="s">
        <v>42</v>
      </c>
      <c r="D37" s="19">
        <v>45621.742559999999</v>
      </c>
      <c r="E37" s="18">
        <f>2664.08083-E114</f>
        <v>1914.0808299999999</v>
      </c>
      <c r="F37" s="18">
        <f t="shared" si="7"/>
        <v>47535.823389999998</v>
      </c>
      <c r="G37" s="18">
        <f>12413.80045-G114</f>
        <v>12413.800450000001</v>
      </c>
      <c r="H37" s="18">
        <v>12251.026599999999</v>
      </c>
      <c r="I37" s="18">
        <f t="shared" si="8"/>
        <v>35122.022939999995</v>
      </c>
    </row>
    <row r="38" spans="2:9" ht="10.5" customHeight="1" x14ac:dyDescent="0.25">
      <c r="B38" s="16"/>
      <c r="C38" s="17" t="s">
        <v>43</v>
      </c>
      <c r="D38" s="19">
        <v>190745.15905000002</v>
      </c>
      <c r="E38" s="18">
        <v>300172.11509000004</v>
      </c>
      <c r="F38" s="18">
        <f t="shared" si="7"/>
        <v>490917.27414000005</v>
      </c>
      <c r="G38" s="18">
        <f>206721.51852-G115</f>
        <v>206721.51852000001</v>
      </c>
      <c r="H38" s="18">
        <v>206721.51852000001</v>
      </c>
      <c r="I38" s="18">
        <f t="shared" si="8"/>
        <v>284195.75562000007</v>
      </c>
    </row>
    <row r="39" spans="2:9" ht="10.5" customHeight="1" x14ac:dyDescent="0.25">
      <c r="B39" s="16"/>
      <c r="C39" s="17" t="s">
        <v>44</v>
      </c>
      <c r="D39" s="19">
        <v>5214556.30889</v>
      </c>
      <c r="E39" s="18">
        <f>+-124893.32277-E116</f>
        <v>-134855.82868000001</v>
      </c>
      <c r="F39" s="18">
        <f t="shared" si="7"/>
        <v>5079700.4802099997</v>
      </c>
      <c r="G39" s="18">
        <f>2341843.55677-G116</f>
        <v>2341843.5567700001</v>
      </c>
      <c r="H39" s="18">
        <v>2341675.9578100001</v>
      </c>
      <c r="I39" s="18">
        <f t="shared" si="8"/>
        <v>2737856.9234399996</v>
      </c>
    </row>
    <row r="40" spans="2:9" x14ac:dyDescent="0.25">
      <c r="B40" s="13" t="s">
        <v>45</v>
      </c>
      <c r="C40" s="14"/>
      <c r="D40" s="15">
        <f t="shared" ref="D40:I40" si="9">SUM(D41:D49)</f>
        <v>63646431.139999993</v>
      </c>
      <c r="E40" s="15">
        <f t="shared" si="9"/>
        <v>1912962.9554000003</v>
      </c>
      <c r="F40" s="15">
        <f t="shared" si="9"/>
        <v>65559394.095399991</v>
      </c>
      <c r="G40" s="15">
        <f t="shared" si="9"/>
        <v>35743201.66347</v>
      </c>
      <c r="H40" s="15">
        <f t="shared" si="9"/>
        <v>35738492.786619991</v>
      </c>
      <c r="I40" s="15">
        <f t="shared" si="9"/>
        <v>29816192.431929998</v>
      </c>
    </row>
    <row r="41" spans="2:9" ht="10.5" customHeight="1" x14ac:dyDescent="0.25">
      <c r="B41" s="16"/>
      <c r="C41" s="17" t="s">
        <v>46</v>
      </c>
      <c r="D41" s="19">
        <f>21254421.343-D118</f>
        <v>18944064.478</v>
      </c>
      <c r="E41" s="18">
        <v>0</v>
      </c>
      <c r="F41" s="18">
        <f t="shared" ref="F41:F49" si="10">+D41+E41</f>
        <v>18944064.478</v>
      </c>
      <c r="G41" s="18">
        <f>11224783.87174-G118</f>
        <v>9875280.0797400009</v>
      </c>
      <c r="H41" s="18">
        <f>11224783.87174-H118</f>
        <v>9875280.0797400009</v>
      </c>
      <c r="I41" s="18">
        <f t="shared" ref="I41:I59" si="11">+F41-G41</f>
        <v>9068784.3982599992</v>
      </c>
    </row>
    <row r="42" spans="2:9" ht="10.5" customHeight="1" x14ac:dyDescent="0.25">
      <c r="B42" s="16"/>
      <c r="C42" s="17" t="s">
        <v>47</v>
      </c>
      <c r="D42" s="19">
        <f>0-D119</f>
        <v>0</v>
      </c>
      <c r="E42" s="18">
        <f>228824.675-E119</f>
        <v>0</v>
      </c>
      <c r="F42" s="18">
        <f t="shared" si="10"/>
        <v>0</v>
      </c>
      <c r="G42" s="18">
        <f>120904.597-G119</f>
        <v>0</v>
      </c>
      <c r="H42" s="18">
        <f>120904.597-H119</f>
        <v>0</v>
      </c>
      <c r="I42" s="18">
        <f t="shared" si="11"/>
        <v>0</v>
      </c>
    </row>
    <row r="43" spans="2:9" ht="10.5" customHeight="1" x14ac:dyDescent="0.25">
      <c r="B43" s="16"/>
      <c r="C43" s="17" t="s">
        <v>48</v>
      </c>
      <c r="D43" s="19">
        <f>6825418.21-D120</f>
        <v>6638287.2010000004</v>
      </c>
      <c r="E43" s="18">
        <v>-58909.389879999995</v>
      </c>
      <c r="F43" s="18">
        <f t="shared" si="10"/>
        <v>6579377.8111200007</v>
      </c>
      <c r="G43" s="18">
        <f>5670107.11947-G120</f>
        <v>5670107.1194700003</v>
      </c>
      <c r="H43" s="18">
        <v>5670105.1514699999</v>
      </c>
      <c r="I43" s="18">
        <f t="shared" si="11"/>
        <v>909270.6916500004</v>
      </c>
    </row>
    <row r="44" spans="2:9" ht="10.5" customHeight="1" x14ac:dyDescent="0.25">
      <c r="B44" s="16"/>
      <c r="C44" s="17" t="s">
        <v>49</v>
      </c>
      <c r="D44" s="19">
        <f>11692599.8908-D121</f>
        <v>11679923.1318</v>
      </c>
      <c r="E44" s="18">
        <v>-114913.57510000003</v>
      </c>
      <c r="F44" s="18">
        <f t="shared" si="10"/>
        <v>11565009.556699999</v>
      </c>
      <c r="G44" s="18">
        <f>4925582.08545-G121</f>
        <v>4925582.0854500001</v>
      </c>
      <c r="H44" s="18">
        <v>4921296.3711700002</v>
      </c>
      <c r="I44" s="18">
        <f t="shared" si="11"/>
        <v>6639427.4712499985</v>
      </c>
    </row>
    <row r="45" spans="2:9" ht="10.5" customHeight="1" x14ac:dyDescent="0.25">
      <c r="B45" s="16"/>
      <c r="C45" s="17" t="s">
        <v>50</v>
      </c>
      <c r="D45" s="19">
        <v>12473.467000000001</v>
      </c>
      <c r="E45" s="18">
        <v>-623.67335000000003</v>
      </c>
      <c r="F45" s="18">
        <f t="shared" si="10"/>
        <v>11849.79365</v>
      </c>
      <c r="G45" s="18">
        <f>2874.49728-G122</f>
        <v>2874.49728</v>
      </c>
      <c r="H45" s="18">
        <v>2453.3027099999999</v>
      </c>
      <c r="I45" s="18">
        <f t="shared" si="11"/>
        <v>8975.29637</v>
      </c>
    </row>
    <row r="46" spans="2:9" ht="10.5" customHeight="1" x14ac:dyDescent="0.25">
      <c r="B46" s="16"/>
      <c r="C46" s="17" t="s">
        <v>51</v>
      </c>
      <c r="D46" s="19">
        <f>91129912.821-D123</f>
        <v>26203950.069999993</v>
      </c>
      <c r="E46" s="18">
        <v>2085452.4940100003</v>
      </c>
      <c r="F46" s="18">
        <f t="shared" si="10"/>
        <v>28289402.564009994</v>
      </c>
      <c r="G46" s="18">
        <f>43029092.49489-G123</f>
        <v>15194150.351529993</v>
      </c>
      <c r="H46" s="18">
        <f>43029092.49489-H123</f>
        <v>15194150.351529993</v>
      </c>
      <c r="I46" s="18">
        <f t="shared" si="11"/>
        <v>13095252.212480001</v>
      </c>
    </row>
    <row r="47" spans="2:9" ht="10.5" customHeight="1" x14ac:dyDescent="0.25">
      <c r="B47" s="16"/>
      <c r="C47" s="17" t="s">
        <v>52</v>
      </c>
      <c r="D47" s="19">
        <f>0-D124</f>
        <v>0</v>
      </c>
      <c r="E47" s="18">
        <v>0</v>
      </c>
      <c r="F47" s="18">
        <f t="shared" si="10"/>
        <v>0</v>
      </c>
      <c r="G47" s="18">
        <v>0</v>
      </c>
      <c r="H47" s="18">
        <v>0</v>
      </c>
      <c r="I47" s="18">
        <f t="shared" si="11"/>
        <v>0</v>
      </c>
    </row>
    <row r="48" spans="2:9" ht="10.5" customHeight="1" x14ac:dyDescent="0.25">
      <c r="B48" s="16"/>
      <c r="C48" s="17" t="s">
        <v>53</v>
      </c>
      <c r="D48" s="19">
        <v>165697.1372</v>
      </c>
      <c r="E48" s="18">
        <v>-1161.4004899999984</v>
      </c>
      <c r="F48" s="18">
        <f t="shared" si="10"/>
        <v>164535.73671</v>
      </c>
      <c r="G48" s="18">
        <v>75207.53</v>
      </c>
      <c r="H48" s="18">
        <v>75207.53</v>
      </c>
      <c r="I48" s="18">
        <f t="shared" si="11"/>
        <v>89328.206709999999</v>
      </c>
    </row>
    <row r="49" spans="2:9" ht="10.5" customHeight="1" x14ac:dyDescent="0.25">
      <c r="B49" s="16"/>
      <c r="C49" s="17" t="s">
        <v>54</v>
      </c>
      <c r="D49" s="19">
        <v>2035.655</v>
      </c>
      <c r="E49" s="18">
        <v>3118.5002100000002</v>
      </c>
      <c r="F49" s="18">
        <f t="shared" si="10"/>
        <v>5154.1552099999999</v>
      </c>
      <c r="G49" s="18">
        <v>0</v>
      </c>
      <c r="H49" s="18">
        <v>0</v>
      </c>
      <c r="I49" s="18">
        <f t="shared" si="11"/>
        <v>5154.1552099999999</v>
      </c>
    </row>
    <row r="50" spans="2:9" x14ac:dyDescent="0.25">
      <c r="B50" s="13" t="s">
        <v>55</v>
      </c>
      <c r="C50" s="14"/>
      <c r="D50" s="15">
        <f>SUM(D51:D59)</f>
        <v>118667.319</v>
      </c>
      <c r="E50" s="15">
        <f>SUM(E51:E59)</f>
        <v>120736.01305000001</v>
      </c>
      <c r="F50" s="15">
        <f>SUM(F51:F59)</f>
        <v>239403.33205</v>
      </c>
      <c r="G50" s="15">
        <f>SUM(G51:G59)</f>
        <v>4860.8577400000004</v>
      </c>
      <c r="H50" s="15">
        <f>SUM(H51:H59)</f>
        <v>4860.8577400000004</v>
      </c>
      <c r="I50" s="15">
        <f t="shared" si="11"/>
        <v>234542.47430999999</v>
      </c>
    </row>
    <row r="51" spans="2:9" ht="10.5" customHeight="1" x14ac:dyDescent="0.25">
      <c r="B51" s="16"/>
      <c r="C51" s="17" t="s">
        <v>56</v>
      </c>
      <c r="D51" s="19">
        <f>110719.81315-D128</f>
        <v>88157.311149999994</v>
      </c>
      <c r="E51" s="18">
        <f>115630.4614-E128</f>
        <v>112229.09540000001</v>
      </c>
      <c r="F51" s="18">
        <f t="shared" ref="F51:F59" si="12">+D51+E51</f>
        <v>200386.40655000001</v>
      </c>
      <c r="G51" s="18">
        <v>3751.55557</v>
      </c>
      <c r="H51" s="18">
        <v>3751.55557</v>
      </c>
      <c r="I51" s="18">
        <f t="shared" si="11"/>
        <v>196634.85098000002</v>
      </c>
    </row>
    <row r="52" spans="2:9" ht="10.5" customHeight="1" x14ac:dyDescent="0.25">
      <c r="B52" s="16"/>
      <c r="C52" s="17" t="s">
        <v>57</v>
      </c>
      <c r="D52" s="19">
        <f>771.57378-D129</f>
        <v>757.60378000000003</v>
      </c>
      <c r="E52" s="18">
        <f>44015.59613-E129</f>
        <v>3461.3010999999969</v>
      </c>
      <c r="F52" s="18">
        <f t="shared" si="12"/>
        <v>4218.9048799999973</v>
      </c>
      <c r="G52" s="18">
        <v>211.70107999999999</v>
      </c>
      <c r="H52" s="18">
        <v>211.70107999999999</v>
      </c>
      <c r="I52" s="18">
        <f t="shared" si="11"/>
        <v>4007.2037999999975</v>
      </c>
    </row>
    <row r="53" spans="2:9" ht="10.5" customHeight="1" x14ac:dyDescent="0.25">
      <c r="B53" s="16"/>
      <c r="C53" s="17" t="s">
        <v>58</v>
      </c>
      <c r="D53" s="19">
        <f>30.353-D130</f>
        <v>0</v>
      </c>
      <c r="E53" s="18">
        <v>292.83735999999999</v>
      </c>
      <c r="F53" s="18">
        <f t="shared" si="12"/>
        <v>292.83735999999999</v>
      </c>
      <c r="G53" s="18">
        <v>0</v>
      </c>
      <c r="H53" s="18">
        <v>0</v>
      </c>
      <c r="I53" s="18">
        <f t="shared" si="11"/>
        <v>292.83735999999999</v>
      </c>
    </row>
    <row r="54" spans="2:9" ht="10.5" customHeight="1" x14ac:dyDescent="0.25">
      <c r="B54" s="16"/>
      <c r="C54" s="17" t="s">
        <v>59</v>
      </c>
      <c r="D54" s="19">
        <f>469.884-D131</f>
        <v>0</v>
      </c>
      <c r="E54" s="18">
        <v>1190.8</v>
      </c>
      <c r="F54" s="18">
        <f t="shared" si="12"/>
        <v>1190.8</v>
      </c>
      <c r="G54" s="18">
        <v>0</v>
      </c>
      <c r="H54" s="18">
        <v>0</v>
      </c>
      <c r="I54" s="18">
        <f t="shared" si="11"/>
        <v>1190.8</v>
      </c>
    </row>
    <row r="55" spans="2:9" ht="10.5" customHeight="1" x14ac:dyDescent="0.25">
      <c r="B55" s="16"/>
      <c r="C55" s="17" t="s">
        <v>60</v>
      </c>
      <c r="D55" s="19">
        <f>0-D132</f>
        <v>0</v>
      </c>
      <c r="E55" s="18">
        <v>0</v>
      </c>
      <c r="F55" s="18">
        <f t="shared" si="12"/>
        <v>0</v>
      </c>
      <c r="G55" s="18">
        <v>0</v>
      </c>
      <c r="H55" s="18">
        <v>0</v>
      </c>
      <c r="I55" s="18">
        <f t="shared" si="11"/>
        <v>0</v>
      </c>
    </row>
    <row r="56" spans="2:9" ht="10.5" customHeight="1" x14ac:dyDescent="0.25">
      <c r="B56" s="16"/>
      <c r="C56" s="17" t="s">
        <v>61</v>
      </c>
      <c r="D56" s="19">
        <v>25657.518530000001</v>
      </c>
      <c r="E56" s="18">
        <f>2838.71969-E133</f>
        <v>2838.7196899999999</v>
      </c>
      <c r="F56" s="18">
        <f>+D56+E56</f>
        <v>28496.238219999999</v>
      </c>
      <c r="G56" s="18">
        <v>615.04608999999994</v>
      </c>
      <c r="H56" s="18">
        <v>615.04608999999994</v>
      </c>
      <c r="I56" s="18">
        <f t="shared" si="11"/>
        <v>27881.192129999999</v>
      </c>
    </row>
    <row r="57" spans="2:9" ht="10.5" customHeight="1" x14ac:dyDescent="0.25">
      <c r="B57" s="16"/>
      <c r="C57" s="17" t="s">
        <v>62</v>
      </c>
      <c r="D57" s="19">
        <f>0-D134</f>
        <v>0</v>
      </c>
      <c r="E57" s="18">
        <v>0</v>
      </c>
      <c r="F57" s="18">
        <f t="shared" si="12"/>
        <v>0</v>
      </c>
      <c r="G57" s="18">
        <v>0</v>
      </c>
      <c r="H57" s="18">
        <v>0</v>
      </c>
      <c r="I57" s="18">
        <f t="shared" si="11"/>
        <v>0</v>
      </c>
    </row>
    <row r="58" spans="2:9" ht="10.5" customHeight="1" x14ac:dyDescent="0.25">
      <c r="B58" s="16"/>
      <c r="C58" s="17" t="s">
        <v>63</v>
      </c>
      <c r="D58" s="19">
        <f>0-D135</f>
        <v>0</v>
      </c>
      <c r="E58" s="18">
        <v>0</v>
      </c>
      <c r="F58" s="18">
        <f t="shared" si="12"/>
        <v>0</v>
      </c>
      <c r="G58" s="18">
        <v>0</v>
      </c>
      <c r="H58" s="18">
        <v>0</v>
      </c>
      <c r="I58" s="18">
        <f t="shared" si="11"/>
        <v>0</v>
      </c>
    </row>
    <row r="59" spans="2:9" ht="10.5" customHeight="1" x14ac:dyDescent="0.25">
      <c r="B59" s="16"/>
      <c r="C59" s="17" t="s">
        <v>64</v>
      </c>
      <c r="D59" s="19">
        <v>4094.8855400000002</v>
      </c>
      <c r="E59" s="18">
        <v>723.2595</v>
      </c>
      <c r="F59" s="18">
        <f t="shared" si="12"/>
        <v>4818.1450400000003</v>
      </c>
      <c r="G59" s="18">
        <v>282.55500000000001</v>
      </c>
      <c r="H59" s="18">
        <v>282.55500000000001</v>
      </c>
      <c r="I59" s="18">
        <f t="shared" si="11"/>
        <v>4535.59004</v>
      </c>
    </row>
    <row r="60" spans="2:9" x14ac:dyDescent="0.25">
      <c r="B60" s="13" t="s">
        <v>65</v>
      </c>
      <c r="C60" s="14"/>
      <c r="D60" s="15">
        <f t="shared" ref="D60:I60" si="13">SUM(D61:D63)</f>
        <v>10386365.006999999</v>
      </c>
      <c r="E60" s="15">
        <f t="shared" si="13"/>
        <v>0</v>
      </c>
      <c r="F60" s="15">
        <f t="shared" si="13"/>
        <v>10386365.006999999</v>
      </c>
      <c r="G60" s="15">
        <f t="shared" si="13"/>
        <v>3667202.3600699995</v>
      </c>
      <c r="H60" s="15">
        <f t="shared" si="13"/>
        <v>1898445.3240399994</v>
      </c>
      <c r="I60" s="15">
        <f t="shared" si="13"/>
        <v>6719162.6469299998</v>
      </c>
    </row>
    <row r="61" spans="2:9" ht="10.5" customHeight="1" x14ac:dyDescent="0.25">
      <c r="B61" s="16"/>
      <c r="C61" s="17" t="s">
        <v>66</v>
      </c>
      <c r="D61" s="19">
        <f>16732518.41-D138</f>
        <v>10386365.006999999</v>
      </c>
      <c r="E61" s="18">
        <v>0</v>
      </c>
      <c r="F61" s="18">
        <f>+D61+E61</f>
        <v>10386365.006999999</v>
      </c>
      <c r="G61" s="18">
        <f>6442824.03463-G138</f>
        <v>3667202.3600699995</v>
      </c>
      <c r="H61" s="18">
        <f>4674066.9986-H138</f>
        <v>1898445.3240399994</v>
      </c>
      <c r="I61" s="18">
        <f>+F61-G61</f>
        <v>6719162.6469299998</v>
      </c>
    </row>
    <row r="62" spans="2:9" ht="10.5" customHeight="1" x14ac:dyDescent="0.25">
      <c r="B62" s="16"/>
      <c r="C62" s="17" t="s">
        <v>67</v>
      </c>
      <c r="D62" s="19">
        <v>0</v>
      </c>
      <c r="E62" s="18">
        <v>0</v>
      </c>
      <c r="F62" s="18">
        <f>+D62+E62</f>
        <v>0</v>
      </c>
      <c r="G62" s="18">
        <v>0</v>
      </c>
      <c r="H62" s="18"/>
      <c r="I62" s="18">
        <f>+F62-G62</f>
        <v>0</v>
      </c>
    </row>
    <row r="63" spans="2:9" ht="10.5" customHeight="1" x14ac:dyDescent="0.25">
      <c r="B63" s="16"/>
      <c r="C63" s="17" t="s">
        <v>68</v>
      </c>
      <c r="D63" s="19">
        <v>0</v>
      </c>
      <c r="E63" s="18">
        <v>0</v>
      </c>
      <c r="F63" s="18">
        <f>+D63+E63</f>
        <v>0</v>
      </c>
      <c r="G63" s="18">
        <v>0</v>
      </c>
      <c r="H63" s="18"/>
      <c r="I63" s="18">
        <f>+F63-G63</f>
        <v>0</v>
      </c>
    </row>
    <row r="64" spans="2:9" x14ac:dyDescent="0.25">
      <c r="B64" s="13" t="s">
        <v>69</v>
      </c>
      <c r="C64" s="14"/>
      <c r="D64" s="15">
        <f t="shared" ref="D64:I64" si="14">SUM(D65:D72)</f>
        <v>1528644.5249999999</v>
      </c>
      <c r="E64" s="15">
        <f t="shared" si="14"/>
        <v>0</v>
      </c>
      <c r="F64" s="15">
        <f t="shared" si="14"/>
        <v>1528644.5249999999</v>
      </c>
      <c r="G64" s="15">
        <f t="shared" si="14"/>
        <v>3677683.1422799998</v>
      </c>
      <c r="H64" s="15">
        <f t="shared" si="14"/>
        <v>3677683.1422800003</v>
      </c>
      <c r="I64" s="15">
        <f t="shared" si="14"/>
        <v>-2149038.6172799999</v>
      </c>
    </row>
    <row r="65" spans="2:12" ht="10.5" customHeight="1" x14ac:dyDescent="0.25">
      <c r="B65" s="16"/>
      <c r="C65" s="17" t="s">
        <v>70</v>
      </c>
      <c r="D65" s="19">
        <f>0-D142</f>
        <v>0</v>
      </c>
      <c r="E65" s="18">
        <v>0</v>
      </c>
      <c r="F65" s="18">
        <f t="shared" ref="F65:F72" si="15">+D65+E65</f>
        <v>0</v>
      </c>
      <c r="G65" s="18">
        <v>0</v>
      </c>
      <c r="H65" s="18">
        <f>0-H142</f>
        <v>0</v>
      </c>
      <c r="I65" s="18">
        <f t="shared" ref="I65:I72" si="16">+F65-G65</f>
        <v>0</v>
      </c>
    </row>
    <row r="66" spans="2:12" ht="10.5" customHeight="1" x14ac:dyDescent="0.25">
      <c r="B66" s="16"/>
      <c r="C66" s="17" t="s">
        <v>71</v>
      </c>
      <c r="D66" s="19">
        <f>0-D143</f>
        <v>0</v>
      </c>
      <c r="E66" s="18">
        <v>0</v>
      </c>
      <c r="F66" s="18">
        <f t="shared" si="15"/>
        <v>0</v>
      </c>
      <c r="G66" s="18">
        <v>0</v>
      </c>
      <c r="H66" s="18">
        <f>0-H143</f>
        <v>0</v>
      </c>
      <c r="I66" s="18">
        <f t="shared" si="16"/>
        <v>0</v>
      </c>
    </row>
    <row r="67" spans="2:12" ht="10.5" customHeight="1" x14ac:dyDescent="0.25">
      <c r="B67" s="16"/>
      <c r="C67" s="17" t="s">
        <v>72</v>
      </c>
      <c r="D67" s="19">
        <f>0-D144</f>
        <v>0</v>
      </c>
      <c r="E67" s="18">
        <v>0</v>
      </c>
      <c r="F67" s="18">
        <f t="shared" si="15"/>
        <v>0</v>
      </c>
      <c r="G67" s="18">
        <v>0</v>
      </c>
      <c r="H67" s="18">
        <f>0-H144</f>
        <v>0</v>
      </c>
      <c r="I67" s="18">
        <f t="shared" si="16"/>
        <v>0</v>
      </c>
    </row>
    <row r="68" spans="2:12" ht="10.5" customHeight="1" x14ac:dyDescent="0.25">
      <c r="B68" s="16"/>
      <c r="C68" s="17" t="s">
        <v>73</v>
      </c>
      <c r="D68" s="19">
        <f>0-D145</f>
        <v>0</v>
      </c>
      <c r="E68" s="18">
        <v>0</v>
      </c>
      <c r="F68" s="18">
        <f t="shared" si="15"/>
        <v>0</v>
      </c>
      <c r="G68" s="18">
        <v>0</v>
      </c>
      <c r="H68" s="18">
        <f>0-H145</f>
        <v>0</v>
      </c>
      <c r="I68" s="18">
        <f t="shared" si="16"/>
        <v>0</v>
      </c>
    </row>
    <row r="69" spans="2:12" ht="10.5" customHeight="1" x14ac:dyDescent="0.25">
      <c r="B69" s="16"/>
      <c r="C69" s="17" t="s">
        <v>74</v>
      </c>
      <c r="D69" s="19">
        <v>1528644.5249999999</v>
      </c>
      <c r="E69" s="18">
        <v>0</v>
      </c>
      <c r="F69" s="18">
        <f t="shared" si="15"/>
        <v>1528644.5249999999</v>
      </c>
      <c r="G69" s="18">
        <v>3677683.1422799998</v>
      </c>
      <c r="H69" s="18">
        <v>3677683.1422800003</v>
      </c>
      <c r="I69" s="18">
        <f>+F69-G69</f>
        <v>-2149038.6172799999</v>
      </c>
    </row>
    <row r="70" spans="2:12" ht="10.5" customHeight="1" x14ac:dyDescent="0.25">
      <c r="B70" s="16"/>
      <c r="C70" s="17" t="s">
        <v>75</v>
      </c>
      <c r="D70" s="19">
        <f>0-D147</f>
        <v>0</v>
      </c>
      <c r="E70" s="18">
        <v>0</v>
      </c>
      <c r="F70" s="18">
        <f t="shared" si="15"/>
        <v>0</v>
      </c>
      <c r="G70" s="18">
        <v>0</v>
      </c>
      <c r="H70" s="18">
        <f>0-H147</f>
        <v>0</v>
      </c>
      <c r="I70" s="18">
        <f t="shared" si="16"/>
        <v>0</v>
      </c>
    </row>
    <row r="71" spans="2:12" ht="10.5" customHeight="1" x14ac:dyDescent="0.25">
      <c r="B71" s="16"/>
      <c r="C71" s="17" t="s">
        <v>76</v>
      </c>
      <c r="D71" s="19">
        <f>0-D148</f>
        <v>0</v>
      </c>
      <c r="E71" s="18">
        <v>0</v>
      </c>
      <c r="F71" s="18">
        <f t="shared" si="15"/>
        <v>0</v>
      </c>
      <c r="G71" s="18">
        <v>0</v>
      </c>
      <c r="H71" s="18">
        <f>0-H148</f>
        <v>0</v>
      </c>
      <c r="I71" s="18">
        <f t="shared" si="16"/>
        <v>0</v>
      </c>
    </row>
    <row r="72" spans="2:12" ht="10.5" customHeight="1" x14ac:dyDescent="0.25">
      <c r="B72" s="16"/>
      <c r="C72" s="17" t="s">
        <v>77</v>
      </c>
      <c r="D72" s="19">
        <f>0-D149</f>
        <v>0</v>
      </c>
      <c r="E72" s="18">
        <v>0</v>
      </c>
      <c r="F72" s="18">
        <f t="shared" si="15"/>
        <v>0</v>
      </c>
      <c r="G72" s="18">
        <v>0</v>
      </c>
      <c r="H72" s="18">
        <f>0-H149</f>
        <v>0</v>
      </c>
      <c r="I72" s="18">
        <f t="shared" si="16"/>
        <v>0</v>
      </c>
    </row>
    <row r="73" spans="2:12" x14ac:dyDescent="0.25">
      <c r="B73" s="13" t="s">
        <v>78</v>
      </c>
      <c r="C73" s="14"/>
      <c r="D73" s="15">
        <f t="shared" ref="D73:I73" si="17">SUM(D74:D76)</f>
        <v>35038564.294999994</v>
      </c>
      <c r="E73" s="15">
        <f t="shared" si="17"/>
        <v>0</v>
      </c>
      <c r="F73" s="15">
        <f t="shared" si="17"/>
        <v>35038564.294999994</v>
      </c>
      <c r="G73" s="15">
        <f t="shared" si="17"/>
        <v>19406474.552579999</v>
      </c>
      <c r="H73" s="15">
        <f t="shared" si="17"/>
        <v>19283751.988229997</v>
      </c>
      <c r="I73" s="15">
        <f t="shared" si="17"/>
        <v>15632089.742419995</v>
      </c>
    </row>
    <row r="74" spans="2:12" ht="10.5" customHeight="1" x14ac:dyDescent="0.25">
      <c r="B74" s="16"/>
      <c r="C74" s="17" t="s">
        <v>79</v>
      </c>
      <c r="D74" s="19">
        <f>35115336.002-D151</f>
        <v>35038564.294999994</v>
      </c>
      <c r="E74" s="18"/>
      <c r="F74" s="18">
        <f>+D74+E74</f>
        <v>35038564.294999994</v>
      </c>
      <c r="G74" s="18">
        <f>19277351.95322+G151</f>
        <v>19277351.953219999</v>
      </c>
      <c r="H74" s="18">
        <f>19277351.95322-H151</f>
        <v>19277351.953219999</v>
      </c>
      <c r="I74" s="18">
        <f>+F74-G74</f>
        <v>15761212.341779996</v>
      </c>
    </row>
    <row r="75" spans="2:12" ht="10.5" customHeight="1" x14ac:dyDescent="0.25">
      <c r="B75" s="16"/>
      <c r="C75" s="17" t="s">
        <v>80</v>
      </c>
      <c r="D75" s="19">
        <f>23527277.857-D152</f>
        <v>0</v>
      </c>
      <c r="E75" s="18">
        <v>0</v>
      </c>
      <c r="F75" s="18">
        <f>+D75+E75</f>
        <v>0</v>
      </c>
      <c r="G75" s="18">
        <f>12623469.11936-G152</f>
        <v>122722.59936000034</v>
      </c>
      <c r="H75" s="18">
        <f>12500746.55501-H152</f>
        <v>3.5010000690817833E-2</v>
      </c>
      <c r="I75" s="18">
        <f>+F75-G75</f>
        <v>-122722.59936000034</v>
      </c>
    </row>
    <row r="76" spans="2:12" ht="10.5" customHeight="1" x14ac:dyDescent="0.25">
      <c r="B76" s="16"/>
      <c r="C76" s="17" t="s">
        <v>81</v>
      </c>
      <c r="D76" s="19">
        <f>0-D153</f>
        <v>0</v>
      </c>
      <c r="E76" s="18">
        <v>0</v>
      </c>
      <c r="F76" s="18">
        <f>+D76+E76</f>
        <v>0</v>
      </c>
      <c r="G76" s="18">
        <f>11838.90401-G153</f>
        <v>6400</v>
      </c>
      <c r="H76" s="18">
        <f>11838.90401-H153</f>
        <v>6400</v>
      </c>
      <c r="I76" s="18">
        <f>+F76-G76</f>
        <v>-6400</v>
      </c>
    </row>
    <row r="77" spans="2:12" x14ac:dyDescent="0.25">
      <c r="B77" s="13" t="s">
        <v>82</v>
      </c>
      <c r="C77" s="14"/>
      <c r="D77" s="15">
        <f>SUM(D78:D84)</f>
        <v>12123932.999</v>
      </c>
      <c r="E77" s="15">
        <f t="shared" ref="E77:I77" si="18">SUM(E78:E84)</f>
        <v>0</v>
      </c>
      <c r="F77" s="15">
        <f t="shared" si="18"/>
        <v>12123932.999</v>
      </c>
      <c r="G77" s="15">
        <f t="shared" si="18"/>
        <v>9538266.2603500001</v>
      </c>
      <c r="H77" s="15">
        <f t="shared" si="18"/>
        <v>9538266.2603500001</v>
      </c>
      <c r="I77" s="15">
        <f t="shared" si="18"/>
        <v>2585666.7386499997</v>
      </c>
      <c r="K77" s="20"/>
      <c r="L77" s="20"/>
    </row>
    <row r="78" spans="2:12" ht="10.5" customHeight="1" x14ac:dyDescent="0.25">
      <c r="B78" s="16"/>
      <c r="C78" s="17" t="s">
        <v>83</v>
      </c>
      <c r="D78" s="19">
        <v>695832.69200000004</v>
      </c>
      <c r="E78" s="18">
        <v>0</v>
      </c>
      <c r="F78" s="18">
        <f t="shared" ref="F78:F81" si="19">+D78+E78</f>
        <v>695832.69200000004</v>
      </c>
      <c r="G78" s="18">
        <v>330264.18689999997</v>
      </c>
      <c r="H78" s="18">
        <v>330264.18689999997</v>
      </c>
      <c r="I78" s="18">
        <f t="shared" ref="I78:I84" si="20">+F78-G78</f>
        <v>365568.50510000007</v>
      </c>
    </row>
    <row r="79" spans="2:12" ht="10.5" customHeight="1" x14ac:dyDescent="0.25">
      <c r="B79" s="16"/>
      <c r="C79" s="17" t="s">
        <v>84</v>
      </c>
      <c r="D79" s="19">
        <f>4645398.098-D156</f>
        <v>4282866.1979999999</v>
      </c>
      <c r="E79" s="18">
        <v>0</v>
      </c>
      <c r="F79" s="18">
        <f t="shared" si="19"/>
        <v>4282866.1979999999</v>
      </c>
      <c r="G79" s="18">
        <f>3299211.07618-G156</f>
        <v>2934046.36362</v>
      </c>
      <c r="H79" s="18">
        <f>3299211.07618-H156</f>
        <v>2934046.36362</v>
      </c>
      <c r="I79" s="18">
        <f t="shared" si="20"/>
        <v>1348819.8343799999</v>
      </c>
    </row>
    <row r="80" spans="2:12" ht="10.5" customHeight="1" x14ac:dyDescent="0.25">
      <c r="B80" s="16"/>
      <c r="C80" s="17" t="s">
        <v>85</v>
      </c>
      <c r="D80" s="19">
        <v>201200.86499999999</v>
      </c>
      <c r="E80" s="18">
        <v>0</v>
      </c>
      <c r="F80" s="18">
        <f t="shared" si="19"/>
        <v>201200.86499999999</v>
      </c>
      <c r="G80" s="18">
        <v>53369.667460000004</v>
      </c>
      <c r="H80" s="18">
        <v>53369.667460000004</v>
      </c>
      <c r="I80" s="18">
        <f t="shared" si="20"/>
        <v>147831.19753999999</v>
      </c>
    </row>
    <row r="81" spans="2:13" ht="10.5" customHeight="1" x14ac:dyDescent="0.25">
      <c r="B81" s="16"/>
      <c r="C81" s="17" t="s">
        <v>86</v>
      </c>
      <c r="D81" s="19">
        <v>210000</v>
      </c>
      <c r="E81" s="18">
        <v>0</v>
      </c>
      <c r="F81" s="18">
        <f t="shared" si="19"/>
        <v>210000</v>
      </c>
      <c r="G81" s="18">
        <v>0</v>
      </c>
      <c r="H81" s="18">
        <v>0</v>
      </c>
      <c r="I81" s="18">
        <f t="shared" si="20"/>
        <v>210000</v>
      </c>
    </row>
    <row r="82" spans="2:13" ht="10.5" customHeight="1" x14ac:dyDescent="0.25">
      <c r="B82" s="16"/>
      <c r="C82" s="17" t="s">
        <v>87</v>
      </c>
      <c r="D82" s="19">
        <v>24550.911</v>
      </c>
      <c r="E82" s="18">
        <v>0</v>
      </c>
      <c r="F82" s="18">
        <f>+D82+E82</f>
        <v>24550.911</v>
      </c>
      <c r="G82" s="18">
        <v>457.54444999999998</v>
      </c>
      <c r="H82" s="18">
        <v>457.54444999999998</v>
      </c>
      <c r="I82" s="18">
        <f t="shared" si="20"/>
        <v>24093.366549999999</v>
      </c>
    </row>
    <row r="83" spans="2:13" ht="10.5" customHeight="1" x14ac:dyDescent="0.25">
      <c r="B83" s="16"/>
      <c r="C83" s="17" t="s">
        <v>88</v>
      </c>
      <c r="D83" s="19">
        <v>0</v>
      </c>
      <c r="E83" s="18">
        <v>0</v>
      </c>
      <c r="F83" s="18">
        <f>+D83+E83</f>
        <v>0</v>
      </c>
      <c r="G83" s="18">
        <v>0</v>
      </c>
      <c r="H83" s="18">
        <v>0</v>
      </c>
      <c r="I83" s="18">
        <f t="shared" si="20"/>
        <v>0</v>
      </c>
    </row>
    <row r="84" spans="2:13" ht="10.5" customHeight="1" x14ac:dyDescent="0.25">
      <c r="B84" s="16"/>
      <c r="C84" s="17" t="s">
        <v>89</v>
      </c>
      <c r="D84" s="19">
        <v>6709482.3329999996</v>
      </c>
      <c r="E84" s="18">
        <v>0</v>
      </c>
      <c r="F84" s="18">
        <f>+D84+E84</f>
        <v>6709482.3329999996</v>
      </c>
      <c r="G84" s="18">
        <v>6220128.49792</v>
      </c>
      <c r="H84" s="18">
        <v>6220128.49792</v>
      </c>
      <c r="I84" s="18">
        <f t="shared" si="20"/>
        <v>489353.83507999964</v>
      </c>
    </row>
    <row r="85" spans="2:13" x14ac:dyDescent="0.25">
      <c r="B85" s="21"/>
      <c r="C85" s="22"/>
      <c r="D85" s="23"/>
      <c r="E85" s="23"/>
      <c r="F85" s="23"/>
      <c r="G85" s="23"/>
      <c r="H85" s="23"/>
      <c r="I85" s="23"/>
    </row>
    <row r="86" spans="2:13" x14ac:dyDescent="0.25">
      <c r="B86" s="24"/>
      <c r="C86" s="24"/>
      <c r="D86" s="19"/>
      <c r="E86" s="19"/>
      <c r="F86" s="19"/>
      <c r="G86" s="19"/>
      <c r="H86" s="19"/>
      <c r="I86" s="19"/>
    </row>
    <row r="87" spans="2:13" ht="6" customHeight="1" x14ac:dyDescent="0.25">
      <c r="B87" s="25"/>
      <c r="C87" s="26"/>
      <c r="D87" s="27"/>
      <c r="E87" s="27"/>
      <c r="F87" s="27"/>
      <c r="G87" s="27"/>
      <c r="H87" s="27"/>
      <c r="I87" s="27"/>
    </row>
    <row r="88" spans="2:13" ht="12" customHeight="1" x14ac:dyDescent="0.25">
      <c r="B88" s="13" t="s">
        <v>90</v>
      </c>
      <c r="C88" s="14"/>
      <c r="D88" s="15">
        <f t="shared" ref="D88:F88" si="21">+D89+D97+D107+D117+D127+D137+D141+D150+D154</f>
        <v>114241050.69700001</v>
      </c>
      <c r="E88" s="15">
        <f t="shared" si="21"/>
        <v>685096.23202999996</v>
      </c>
      <c r="F88" s="15">
        <f t="shared" si="21"/>
        <v>114926146.92903</v>
      </c>
      <c r="G88" s="15">
        <f>+G89+G97+G107+G117+G127+G137+G141+G150+G154</f>
        <v>53026948.087390006</v>
      </c>
      <c r="H88" s="15">
        <f>+H89+H97+H107+H117+H127+H137+H141+H150+H154</f>
        <v>53026948.087390006</v>
      </c>
      <c r="I88" s="15">
        <f>+I89+I97+I107+I117+I127+I137+I141+I150+I154</f>
        <v>61899198.841640003</v>
      </c>
      <c r="K88" s="2"/>
      <c r="L88" s="12"/>
      <c r="M88" s="28"/>
    </row>
    <row r="89" spans="2:13" ht="12.75" customHeight="1" x14ac:dyDescent="0.25">
      <c r="B89" s="13" t="s">
        <v>17</v>
      </c>
      <c r="C89" s="14"/>
      <c r="D89" s="15">
        <f>SUM(D90:D96)</f>
        <v>16435685.056</v>
      </c>
      <c r="E89" s="15">
        <f>SUM(E90:E96)</f>
        <v>84465.149420000002</v>
      </c>
      <c r="F89" s="15">
        <f t="shared" ref="F89:H89" si="22">SUM(F90:F96)</f>
        <v>16520150.20542</v>
      </c>
      <c r="G89" s="15">
        <f>SUM(G90:G96)</f>
        <v>8043843.4624399999</v>
      </c>
      <c r="H89" s="15">
        <f t="shared" si="22"/>
        <v>8043843.4624399999</v>
      </c>
      <c r="I89" s="15">
        <f>SUM(I90:I96)</f>
        <v>8476306.7429799996</v>
      </c>
    </row>
    <row r="90" spans="2:13" ht="9.75" customHeight="1" x14ac:dyDescent="0.25">
      <c r="B90" s="16"/>
      <c r="C90" s="17" t="s">
        <v>18</v>
      </c>
      <c r="D90" s="19">
        <f>3318508.403+9376861.25-362531.9</f>
        <v>12332837.753</v>
      </c>
      <c r="E90" s="18">
        <v>0</v>
      </c>
      <c r="F90" s="18">
        <f t="shared" ref="F90:F96" si="23">+D90+E90</f>
        <v>12332837.753</v>
      </c>
      <c r="G90" s="18">
        <v>6240667.9114399999</v>
      </c>
      <c r="H90" s="18">
        <v>6240667.9114399999</v>
      </c>
      <c r="I90" s="18">
        <f t="shared" ref="I90:I96" si="24">+F90-G90</f>
        <v>6092169.8415600006</v>
      </c>
    </row>
    <row r="91" spans="2:13" ht="10.5" customHeight="1" x14ac:dyDescent="0.25">
      <c r="B91" s="16"/>
      <c r="C91" s="17" t="s">
        <v>19</v>
      </c>
      <c r="D91" s="19">
        <v>0</v>
      </c>
      <c r="E91" s="18">
        <v>55827.643230000001</v>
      </c>
      <c r="F91" s="18">
        <f t="shared" si="23"/>
        <v>55827.643230000001</v>
      </c>
      <c r="G91" s="18">
        <v>0</v>
      </c>
      <c r="H91" s="18">
        <v>0</v>
      </c>
      <c r="I91" s="18">
        <f t="shared" si="24"/>
        <v>55827.643230000001</v>
      </c>
      <c r="K91" s="28"/>
    </row>
    <row r="92" spans="2:13" ht="10.5" customHeight="1" x14ac:dyDescent="0.25">
      <c r="B92" s="16"/>
      <c r="C92" s="17" t="s">
        <v>20</v>
      </c>
      <c r="D92" s="19">
        <v>2041104.689</v>
      </c>
      <c r="E92" s="18">
        <v>12981.618990000001</v>
      </c>
      <c r="F92" s="18">
        <f t="shared" si="23"/>
        <v>2054086.3079900001</v>
      </c>
      <c r="G92" s="18">
        <v>1100389.145</v>
      </c>
      <c r="H92" s="18">
        <v>1100389.145</v>
      </c>
      <c r="I92" s="18">
        <f t="shared" si="24"/>
        <v>953697.1629900001</v>
      </c>
      <c r="K92" s="28"/>
    </row>
    <row r="93" spans="2:13" ht="10.5" customHeight="1" x14ac:dyDescent="0.25">
      <c r="B93" s="16"/>
      <c r="C93" s="17" t="s">
        <v>21</v>
      </c>
      <c r="D93" s="19">
        <v>671894.27</v>
      </c>
      <c r="E93" s="18">
        <v>15655.887200000001</v>
      </c>
      <c r="F93" s="18">
        <f t="shared" si="23"/>
        <v>687550.15720000002</v>
      </c>
      <c r="G93" s="18">
        <v>386573.42800000001</v>
      </c>
      <c r="H93" s="18">
        <v>386573.42800000001</v>
      </c>
      <c r="I93" s="18">
        <f t="shared" si="24"/>
        <v>300976.7292</v>
      </c>
    </row>
    <row r="94" spans="2:13" ht="10.5" customHeight="1" x14ac:dyDescent="0.25">
      <c r="B94" s="16"/>
      <c r="C94" s="17" t="s">
        <v>22</v>
      </c>
      <c r="D94" s="19">
        <v>1389848.344</v>
      </c>
      <c r="E94" s="18">
        <v>0</v>
      </c>
      <c r="F94" s="18">
        <f t="shared" si="23"/>
        <v>1389848.344</v>
      </c>
      <c r="G94" s="18">
        <v>316212.978</v>
      </c>
      <c r="H94" s="18">
        <v>316212.978</v>
      </c>
      <c r="I94" s="18">
        <f t="shared" si="24"/>
        <v>1073635.3659999999</v>
      </c>
    </row>
    <row r="95" spans="2:13" ht="10.5" customHeight="1" x14ac:dyDescent="0.25">
      <c r="B95" s="16"/>
      <c r="C95" s="17" t="s">
        <v>23</v>
      </c>
      <c r="D95" s="19">
        <v>0</v>
      </c>
      <c r="E95" s="18">
        <v>0</v>
      </c>
      <c r="F95" s="18">
        <f t="shared" si="23"/>
        <v>0</v>
      </c>
      <c r="G95" s="18">
        <v>0</v>
      </c>
      <c r="H95" s="18">
        <v>0</v>
      </c>
      <c r="I95" s="18">
        <f t="shared" si="24"/>
        <v>0</v>
      </c>
    </row>
    <row r="96" spans="2:13" ht="10.5" customHeight="1" x14ac:dyDescent="0.25">
      <c r="B96" s="16"/>
      <c r="C96" s="17" t="s">
        <v>24</v>
      </c>
      <c r="D96" s="19">
        <v>0</v>
      </c>
      <c r="E96" s="18">
        <v>0</v>
      </c>
      <c r="F96" s="18">
        <f t="shared" si="23"/>
        <v>0</v>
      </c>
      <c r="G96" s="18">
        <v>0</v>
      </c>
      <c r="H96" s="18">
        <v>0</v>
      </c>
      <c r="I96" s="18">
        <f t="shared" si="24"/>
        <v>0</v>
      </c>
    </row>
    <row r="97" spans="2:13" ht="13.5" customHeight="1" x14ac:dyDescent="0.25">
      <c r="B97" s="13" t="s">
        <v>25</v>
      </c>
      <c r="C97" s="14"/>
      <c r="D97" s="15">
        <f t="shared" ref="D97:I97" si="25">SUM(D98:D106)</f>
        <v>1836.645</v>
      </c>
      <c r="E97" s="15">
        <f t="shared" si="25"/>
        <v>204154.70056000003</v>
      </c>
      <c r="F97" s="15">
        <f t="shared" si="25"/>
        <v>205991.34556000002</v>
      </c>
      <c r="G97" s="15">
        <f t="shared" si="25"/>
        <v>0</v>
      </c>
      <c r="H97" s="15">
        <f t="shared" si="25"/>
        <v>0</v>
      </c>
      <c r="I97" s="15">
        <f t="shared" si="25"/>
        <v>205991.34556000002</v>
      </c>
      <c r="L97" s="2"/>
      <c r="M97" s="2"/>
    </row>
    <row r="98" spans="2:13" ht="10.5" customHeight="1" x14ac:dyDescent="0.25">
      <c r="B98" s="16"/>
      <c r="C98" s="17" t="s">
        <v>26</v>
      </c>
      <c r="D98" s="19">
        <v>998.15</v>
      </c>
      <c r="E98" s="18">
        <v>235.36222000000001</v>
      </c>
      <c r="F98" s="18">
        <f>+D98+E98</f>
        <v>1233.5122200000001</v>
      </c>
      <c r="G98" s="18">
        <v>0</v>
      </c>
      <c r="H98" s="18">
        <v>0</v>
      </c>
      <c r="I98" s="18">
        <f t="shared" ref="I98:I106" si="26">+F98-G98</f>
        <v>1233.5122200000001</v>
      </c>
    </row>
    <row r="99" spans="2:13" ht="10.5" customHeight="1" x14ac:dyDescent="0.25">
      <c r="B99" s="16"/>
      <c r="C99" s="17" t="s">
        <v>27</v>
      </c>
      <c r="D99" s="19">
        <v>244.536</v>
      </c>
      <c r="E99" s="18">
        <v>0</v>
      </c>
      <c r="F99" s="18">
        <f>+D99+E99</f>
        <v>244.536</v>
      </c>
      <c r="G99" s="18">
        <v>0</v>
      </c>
      <c r="H99" s="18">
        <f t="shared" ref="H99:H106" si="27">G99</f>
        <v>0</v>
      </c>
      <c r="I99" s="18">
        <f t="shared" si="26"/>
        <v>244.536</v>
      </c>
    </row>
    <row r="100" spans="2:13" ht="10.5" customHeight="1" x14ac:dyDescent="0.25">
      <c r="B100" s="16"/>
      <c r="C100" s="17" t="s">
        <v>28</v>
      </c>
      <c r="D100" s="19">
        <v>0</v>
      </c>
      <c r="E100" s="18">
        <v>0</v>
      </c>
      <c r="F100" s="18">
        <f t="shared" ref="F100:F106" si="28">+D100+E100</f>
        <v>0</v>
      </c>
      <c r="G100" s="18">
        <v>0</v>
      </c>
      <c r="H100" s="18">
        <f t="shared" si="27"/>
        <v>0</v>
      </c>
      <c r="I100" s="18">
        <f t="shared" si="26"/>
        <v>0</v>
      </c>
    </row>
    <row r="101" spans="2:13" ht="10.5" customHeight="1" x14ac:dyDescent="0.25">
      <c r="B101" s="16"/>
      <c r="C101" s="17" t="s">
        <v>29</v>
      </c>
      <c r="D101" s="19">
        <v>4</v>
      </c>
      <c r="E101" s="18">
        <v>2000</v>
      </c>
      <c r="F101" s="18">
        <f t="shared" si="28"/>
        <v>2004</v>
      </c>
      <c r="G101" s="18">
        <v>0</v>
      </c>
      <c r="H101" s="18">
        <v>0</v>
      </c>
      <c r="I101" s="18">
        <f t="shared" si="26"/>
        <v>2004</v>
      </c>
    </row>
    <row r="102" spans="2:13" ht="10.5" customHeight="1" x14ac:dyDescent="0.25">
      <c r="B102" s="16"/>
      <c r="C102" s="17" t="s">
        <v>30</v>
      </c>
      <c r="D102" s="19">
        <v>97.296999999999997</v>
      </c>
      <c r="E102" s="18">
        <v>0</v>
      </c>
      <c r="F102" s="18">
        <f t="shared" si="28"/>
        <v>97.296999999999997</v>
      </c>
      <c r="G102" s="18">
        <v>0</v>
      </c>
      <c r="H102" s="18">
        <f t="shared" si="27"/>
        <v>0</v>
      </c>
      <c r="I102" s="18">
        <f t="shared" si="26"/>
        <v>97.296999999999997</v>
      </c>
    </row>
    <row r="103" spans="2:13" ht="10.5" customHeight="1" x14ac:dyDescent="0.25">
      <c r="B103" s="16"/>
      <c r="C103" s="17" t="s">
        <v>31</v>
      </c>
      <c r="D103" s="19">
        <v>0</v>
      </c>
      <c r="E103" s="18">
        <v>650</v>
      </c>
      <c r="F103" s="18">
        <f t="shared" si="28"/>
        <v>650</v>
      </c>
      <c r="G103" s="18">
        <v>0</v>
      </c>
      <c r="H103" s="18">
        <v>0</v>
      </c>
      <c r="I103" s="18">
        <f>+F103-G103</f>
        <v>650</v>
      </c>
    </row>
    <row r="104" spans="2:13" ht="10.5" customHeight="1" x14ac:dyDescent="0.25">
      <c r="B104" s="16"/>
      <c r="C104" s="17" t="s">
        <v>32</v>
      </c>
      <c r="D104" s="19">
        <v>492.66199999999998</v>
      </c>
      <c r="E104" s="18">
        <v>147390.96280000001</v>
      </c>
      <c r="F104" s="18">
        <f t="shared" si="28"/>
        <v>147883.62480000002</v>
      </c>
      <c r="G104" s="18">
        <v>0</v>
      </c>
      <c r="H104" s="18">
        <f t="shared" si="27"/>
        <v>0</v>
      </c>
      <c r="I104" s="18">
        <f t="shared" si="26"/>
        <v>147883.62480000002</v>
      </c>
    </row>
    <row r="105" spans="2:13" ht="10.5" customHeight="1" x14ac:dyDescent="0.25">
      <c r="B105" s="16"/>
      <c r="C105" s="17" t="s">
        <v>33</v>
      </c>
      <c r="D105" s="19">
        <v>0</v>
      </c>
      <c r="E105" s="18">
        <v>53799.611340000003</v>
      </c>
      <c r="F105" s="18">
        <f t="shared" si="28"/>
        <v>53799.611340000003</v>
      </c>
      <c r="G105" s="18">
        <v>0</v>
      </c>
      <c r="H105" s="18">
        <f t="shared" si="27"/>
        <v>0</v>
      </c>
      <c r="I105" s="18">
        <f t="shared" si="26"/>
        <v>53799.611340000003</v>
      </c>
    </row>
    <row r="106" spans="2:13" ht="10.5" customHeight="1" x14ac:dyDescent="0.25">
      <c r="B106" s="16"/>
      <c r="C106" s="17" t="s">
        <v>34</v>
      </c>
      <c r="D106" s="19">
        <v>0</v>
      </c>
      <c r="E106" s="18">
        <v>78.764200000000002</v>
      </c>
      <c r="F106" s="18">
        <f t="shared" si="28"/>
        <v>78.764200000000002</v>
      </c>
      <c r="G106" s="18">
        <v>0</v>
      </c>
      <c r="H106" s="18">
        <f t="shared" si="27"/>
        <v>0</v>
      </c>
      <c r="I106" s="18">
        <f t="shared" si="26"/>
        <v>78.764200000000002</v>
      </c>
    </row>
    <row r="107" spans="2:13" ht="14.25" customHeight="1" x14ac:dyDescent="0.25">
      <c r="B107" s="13" t="s">
        <v>35</v>
      </c>
      <c r="C107" s="14"/>
      <c r="D107" s="15">
        <f t="shared" ref="D107:I107" si="29">SUM(D108:D116)</f>
        <v>31590.036</v>
      </c>
      <c r="E107" s="15">
        <f t="shared" si="29"/>
        <v>123696.04602000001</v>
      </c>
      <c r="F107" s="15">
        <f t="shared" si="29"/>
        <v>155286.08202</v>
      </c>
      <c r="G107" s="15">
        <f t="shared" si="29"/>
        <v>30782.281460000002</v>
      </c>
      <c r="H107" s="15">
        <f t="shared" si="29"/>
        <v>30782.281460000002</v>
      </c>
      <c r="I107" s="15">
        <f t="shared" si="29"/>
        <v>124503.80056</v>
      </c>
    </row>
    <row r="108" spans="2:13" ht="10.5" customHeight="1" x14ac:dyDescent="0.25">
      <c r="B108" s="16"/>
      <c r="C108" s="17" t="s">
        <v>36</v>
      </c>
      <c r="D108" s="19">
        <v>12.336</v>
      </c>
      <c r="E108" s="18">
        <v>17247.205000000002</v>
      </c>
      <c r="F108" s="18">
        <f t="shared" ref="F108:F116" si="30">+D108+E108</f>
        <v>17259.541000000001</v>
      </c>
      <c r="G108" s="18">
        <v>0</v>
      </c>
      <c r="H108" s="18">
        <v>0</v>
      </c>
      <c r="I108" s="18">
        <f t="shared" ref="I108:I116" si="31">+F108-G108</f>
        <v>17259.541000000001</v>
      </c>
    </row>
    <row r="109" spans="2:13" ht="10.5" customHeight="1" x14ac:dyDescent="0.25">
      <c r="B109" s="16"/>
      <c r="C109" s="17" t="s">
        <v>37</v>
      </c>
      <c r="D109" s="19">
        <v>126.833</v>
      </c>
      <c r="E109" s="18">
        <v>0</v>
      </c>
      <c r="F109" s="18">
        <f t="shared" si="30"/>
        <v>126.833</v>
      </c>
      <c r="G109" s="18">
        <v>0</v>
      </c>
      <c r="H109" s="18">
        <f t="shared" ref="H109:H116" si="32">G109</f>
        <v>0</v>
      </c>
      <c r="I109" s="18">
        <f t="shared" si="31"/>
        <v>126.833</v>
      </c>
    </row>
    <row r="110" spans="2:13" ht="10.5" customHeight="1" x14ac:dyDescent="0.25">
      <c r="B110" s="16"/>
      <c r="C110" s="17" t="s">
        <v>38</v>
      </c>
      <c r="D110" s="19">
        <v>31450.866999999998</v>
      </c>
      <c r="E110" s="18">
        <v>35976.949999999997</v>
      </c>
      <c r="F110" s="18">
        <f t="shared" si="30"/>
        <v>67427.816999999995</v>
      </c>
      <c r="G110" s="18">
        <v>30782.281460000002</v>
      </c>
      <c r="H110" s="18">
        <v>30782.281460000002</v>
      </c>
      <c r="I110" s="18">
        <f t="shared" si="31"/>
        <v>36645.535539999997</v>
      </c>
    </row>
    <row r="111" spans="2:13" ht="15.75" customHeight="1" x14ac:dyDescent="0.25">
      <c r="B111" s="16"/>
      <c r="C111" s="17" t="s">
        <v>39</v>
      </c>
      <c r="D111" s="19">
        <v>0</v>
      </c>
      <c r="E111" s="18">
        <v>0</v>
      </c>
      <c r="F111" s="18">
        <f t="shared" si="30"/>
        <v>0</v>
      </c>
      <c r="G111" s="18">
        <v>0</v>
      </c>
      <c r="H111" s="18">
        <f t="shared" si="32"/>
        <v>0</v>
      </c>
      <c r="I111" s="18">
        <f t="shared" si="31"/>
        <v>0</v>
      </c>
    </row>
    <row r="112" spans="2:13" ht="10.5" customHeight="1" x14ac:dyDescent="0.25">
      <c r="B112" s="16"/>
      <c r="C112" s="17" t="s">
        <v>40</v>
      </c>
      <c r="D112" s="19">
        <v>0</v>
      </c>
      <c r="E112" s="18">
        <v>59759.385110000003</v>
      </c>
      <c r="F112" s="18">
        <f t="shared" si="30"/>
        <v>59759.385110000003</v>
      </c>
      <c r="G112" s="18">
        <v>0</v>
      </c>
      <c r="H112" s="18">
        <v>0</v>
      </c>
      <c r="I112" s="18">
        <f t="shared" si="31"/>
        <v>59759.385110000003</v>
      </c>
    </row>
    <row r="113" spans="2:9" ht="10.5" customHeight="1" x14ac:dyDescent="0.25">
      <c r="B113" s="16"/>
      <c r="C113" s="17" t="s">
        <v>41</v>
      </c>
      <c r="D113" s="19">
        <v>0</v>
      </c>
      <c r="E113" s="18">
        <v>0</v>
      </c>
      <c r="F113" s="18">
        <f t="shared" si="30"/>
        <v>0</v>
      </c>
      <c r="G113" s="18">
        <v>0</v>
      </c>
      <c r="H113" s="18">
        <v>0</v>
      </c>
      <c r="I113" s="18">
        <f t="shared" si="31"/>
        <v>0</v>
      </c>
    </row>
    <row r="114" spans="2:9" ht="10.5" customHeight="1" x14ac:dyDescent="0.25">
      <c r="B114" s="16"/>
      <c r="C114" s="17" t="s">
        <v>42</v>
      </c>
      <c r="D114" s="19">
        <v>0</v>
      </c>
      <c r="E114" s="18">
        <v>750</v>
      </c>
      <c r="F114" s="18">
        <f t="shared" si="30"/>
        <v>750</v>
      </c>
      <c r="G114" s="18">
        <v>0</v>
      </c>
      <c r="H114" s="18">
        <f t="shared" si="32"/>
        <v>0</v>
      </c>
      <c r="I114" s="18">
        <f t="shared" si="31"/>
        <v>750</v>
      </c>
    </row>
    <row r="115" spans="2:9" ht="10.5" customHeight="1" x14ac:dyDescent="0.25">
      <c r="B115" s="16"/>
      <c r="C115" s="17" t="s">
        <v>43</v>
      </c>
      <c r="D115" s="19">
        <v>0</v>
      </c>
      <c r="E115" s="18">
        <v>0</v>
      </c>
      <c r="F115" s="18">
        <f t="shared" si="30"/>
        <v>0</v>
      </c>
      <c r="G115" s="18">
        <v>0</v>
      </c>
      <c r="H115" s="18">
        <v>0</v>
      </c>
      <c r="I115" s="18">
        <f t="shared" si="31"/>
        <v>0</v>
      </c>
    </row>
    <row r="116" spans="2:9" ht="10.5" customHeight="1" x14ac:dyDescent="0.25">
      <c r="B116" s="16"/>
      <c r="C116" s="17" t="s">
        <v>44</v>
      </c>
      <c r="D116" s="19">
        <v>0</v>
      </c>
      <c r="E116" s="18">
        <v>9962.5059099999999</v>
      </c>
      <c r="F116" s="18">
        <f t="shared" si="30"/>
        <v>9962.5059099999999</v>
      </c>
      <c r="G116" s="18">
        <v>0</v>
      </c>
      <c r="H116" s="18">
        <f t="shared" si="32"/>
        <v>0</v>
      </c>
      <c r="I116" s="18">
        <f t="shared" si="31"/>
        <v>9962.5059099999999</v>
      </c>
    </row>
    <row r="117" spans="2:9" ht="10.5" customHeight="1" x14ac:dyDescent="0.25">
      <c r="B117" s="13" t="s">
        <v>45</v>
      </c>
      <c r="C117" s="14"/>
      <c r="D117" s="15">
        <f>SUM(D118:D126)</f>
        <v>67436127.384000003</v>
      </c>
      <c r="E117" s="15">
        <f t="shared" ref="E117:H117" si="33">SUM(E118:E126)</f>
        <v>228824.67499999999</v>
      </c>
      <c r="F117" s="15">
        <f t="shared" si="33"/>
        <v>67664952.059</v>
      </c>
      <c r="G117" s="15">
        <f t="shared" si="33"/>
        <v>29305350.532360002</v>
      </c>
      <c r="H117" s="15">
        <f t="shared" si="33"/>
        <v>29305350.532360002</v>
      </c>
      <c r="I117" s="15">
        <f>SUM(I118:I126)</f>
        <v>38359601.526639998</v>
      </c>
    </row>
    <row r="118" spans="2:9" ht="10.5" customHeight="1" x14ac:dyDescent="0.25">
      <c r="B118" s="16"/>
      <c r="C118" s="17" t="s">
        <v>46</v>
      </c>
      <c r="D118" s="19">
        <f>2310356865/1000</f>
        <v>2310356.8650000002</v>
      </c>
      <c r="E118" s="18">
        <v>0</v>
      </c>
      <c r="F118" s="18">
        <f t="shared" ref="F118:F136" si="34">+D118+E118</f>
        <v>2310356.8650000002</v>
      </c>
      <c r="G118" s="18">
        <v>1349503.7919999999</v>
      </c>
      <c r="H118" s="18">
        <v>1349503.7919999999</v>
      </c>
      <c r="I118" s="18">
        <f t="shared" ref="I118:I161" si="35">+F118-G118</f>
        <v>960853.07300000032</v>
      </c>
    </row>
    <row r="119" spans="2:9" ht="10.5" customHeight="1" x14ac:dyDescent="0.25">
      <c r="B119" s="16"/>
      <c r="C119" s="17" t="s">
        <v>47</v>
      </c>
      <c r="D119" s="19">
        <v>0</v>
      </c>
      <c r="E119" s="18">
        <v>228824.67499999999</v>
      </c>
      <c r="F119" s="18">
        <f t="shared" si="34"/>
        <v>228824.67499999999</v>
      </c>
      <c r="G119" s="18">
        <v>120904.59699999999</v>
      </c>
      <c r="H119" s="18">
        <v>120904.59699999999</v>
      </c>
      <c r="I119" s="18">
        <f t="shared" si="35"/>
        <v>107920.07799999999</v>
      </c>
    </row>
    <row r="120" spans="2:9" ht="10.5" customHeight="1" x14ac:dyDescent="0.25">
      <c r="B120" s="16"/>
      <c r="C120" s="17" t="s">
        <v>48</v>
      </c>
      <c r="D120" s="19">
        <v>187131.00899999999</v>
      </c>
      <c r="E120" s="18">
        <v>0</v>
      </c>
      <c r="F120" s="18">
        <f t="shared" si="34"/>
        <v>187131.00899999999</v>
      </c>
      <c r="G120" s="18">
        <v>0</v>
      </c>
      <c r="H120" s="18">
        <v>0</v>
      </c>
      <c r="I120" s="18">
        <f t="shared" si="35"/>
        <v>187131.00899999999</v>
      </c>
    </row>
    <row r="121" spans="2:9" ht="10.5" customHeight="1" x14ac:dyDescent="0.25">
      <c r="B121" s="16"/>
      <c r="C121" s="17" t="s">
        <v>49</v>
      </c>
      <c r="D121" s="19">
        <v>12676.759</v>
      </c>
      <c r="E121" s="18">
        <v>0</v>
      </c>
      <c r="F121" s="18">
        <f>+D121+E121</f>
        <v>12676.759</v>
      </c>
      <c r="G121" s="18">
        <v>0</v>
      </c>
      <c r="H121" s="18">
        <v>0</v>
      </c>
      <c r="I121" s="18">
        <f t="shared" si="35"/>
        <v>12676.759</v>
      </c>
    </row>
    <row r="122" spans="2:9" ht="10.5" customHeight="1" x14ac:dyDescent="0.25">
      <c r="B122" s="16"/>
      <c r="C122" s="17" t="s">
        <v>50</v>
      </c>
      <c r="D122" s="19">
        <v>0</v>
      </c>
      <c r="E122" s="18">
        <v>0</v>
      </c>
      <c r="F122" s="18">
        <f t="shared" si="34"/>
        <v>0</v>
      </c>
      <c r="G122" s="18">
        <v>0</v>
      </c>
      <c r="H122" s="18">
        <v>0</v>
      </c>
      <c r="I122" s="18">
        <f t="shared" si="35"/>
        <v>0</v>
      </c>
    </row>
    <row r="123" spans="2:9" ht="10.5" customHeight="1" x14ac:dyDescent="0.25">
      <c r="B123" s="16"/>
      <c r="C123" s="17" t="s">
        <v>51</v>
      </c>
      <c r="D123" s="19">
        <f>62400105291/1000+2525857.46</f>
        <v>64925962.751000002</v>
      </c>
      <c r="E123" s="18">
        <v>0</v>
      </c>
      <c r="F123" s="18">
        <f>+D123+E123</f>
        <v>64925962.751000002</v>
      </c>
      <c r="G123" s="18">
        <v>27834942.143360004</v>
      </c>
      <c r="H123" s="18">
        <v>27834942.143360004</v>
      </c>
      <c r="I123" s="18">
        <f t="shared" si="35"/>
        <v>37091020.607639998</v>
      </c>
    </row>
    <row r="124" spans="2:9" ht="10.5" customHeight="1" x14ac:dyDescent="0.25">
      <c r="B124" s="16"/>
      <c r="C124" s="17" t="s">
        <v>52</v>
      </c>
      <c r="D124" s="19">
        <v>0</v>
      </c>
      <c r="E124" s="18">
        <v>0</v>
      </c>
      <c r="F124" s="18">
        <f t="shared" si="34"/>
        <v>0</v>
      </c>
      <c r="G124" s="18">
        <v>0</v>
      </c>
      <c r="H124" s="18">
        <v>0</v>
      </c>
      <c r="I124" s="18">
        <f t="shared" si="35"/>
        <v>0</v>
      </c>
    </row>
    <row r="125" spans="2:9" ht="10.5" customHeight="1" x14ac:dyDescent="0.25">
      <c r="B125" s="16"/>
      <c r="C125" s="17" t="s">
        <v>53</v>
      </c>
      <c r="D125" s="19">
        <v>0</v>
      </c>
      <c r="E125" s="18">
        <v>0</v>
      </c>
      <c r="F125" s="18">
        <f t="shared" si="34"/>
        <v>0</v>
      </c>
      <c r="G125" s="18">
        <v>0</v>
      </c>
      <c r="H125" s="18">
        <f t="shared" ref="H125:H126" si="36">G125</f>
        <v>0</v>
      </c>
      <c r="I125" s="18">
        <f t="shared" si="35"/>
        <v>0</v>
      </c>
    </row>
    <row r="126" spans="2:9" ht="10.5" customHeight="1" x14ac:dyDescent="0.25">
      <c r="B126" s="16"/>
      <c r="C126" s="17" t="s">
        <v>54</v>
      </c>
      <c r="D126" s="19">
        <v>0</v>
      </c>
      <c r="E126" s="18">
        <v>0</v>
      </c>
      <c r="F126" s="18">
        <f t="shared" si="34"/>
        <v>0</v>
      </c>
      <c r="G126" s="18">
        <v>0</v>
      </c>
      <c r="H126" s="18">
        <f t="shared" si="36"/>
        <v>0</v>
      </c>
      <c r="I126" s="18">
        <f t="shared" si="35"/>
        <v>0</v>
      </c>
    </row>
    <row r="127" spans="2:9" x14ac:dyDescent="0.25">
      <c r="B127" s="13" t="s">
        <v>55</v>
      </c>
      <c r="C127" s="14"/>
      <c r="D127" s="15">
        <f>SUM(D128:D136)</f>
        <v>23076.709000000003</v>
      </c>
      <c r="E127" s="15">
        <f>SUM(E128:E136)</f>
        <v>43955.661030000003</v>
      </c>
      <c r="F127" s="15">
        <f t="shared" si="34"/>
        <v>67032.370030000005</v>
      </c>
      <c r="G127" s="15">
        <f>SUM(G128:G136)</f>
        <v>0</v>
      </c>
      <c r="H127" s="15">
        <f>SUM(H128:H136)</f>
        <v>0</v>
      </c>
      <c r="I127" s="15">
        <f>SUM(I128:I136)</f>
        <v>67032.370030000005</v>
      </c>
    </row>
    <row r="128" spans="2:9" ht="10.5" customHeight="1" x14ac:dyDescent="0.25">
      <c r="B128" s="16"/>
      <c r="C128" s="17" t="s">
        <v>56</v>
      </c>
      <c r="D128" s="19">
        <v>22562.502</v>
      </c>
      <c r="E128" s="18">
        <v>3401.366</v>
      </c>
      <c r="F128" s="18">
        <f>+D128+E128</f>
        <v>25963.868000000002</v>
      </c>
      <c r="G128" s="18">
        <v>0</v>
      </c>
      <c r="H128" s="18">
        <v>0</v>
      </c>
      <c r="I128" s="18">
        <f t="shared" si="35"/>
        <v>25963.868000000002</v>
      </c>
    </row>
    <row r="129" spans="2:11" ht="10.5" customHeight="1" x14ac:dyDescent="0.25">
      <c r="B129" s="16"/>
      <c r="C129" s="17" t="s">
        <v>57</v>
      </c>
      <c r="D129" s="19">
        <v>13.97</v>
      </c>
      <c r="E129" s="18">
        <v>40554.295030000001</v>
      </c>
      <c r="F129" s="18">
        <f t="shared" si="34"/>
        <v>40568.265030000002</v>
      </c>
      <c r="G129" s="18">
        <v>0</v>
      </c>
      <c r="H129" s="18">
        <v>0</v>
      </c>
      <c r="I129" s="18">
        <f t="shared" si="35"/>
        <v>40568.265030000002</v>
      </c>
    </row>
    <row r="130" spans="2:11" ht="10.5" customHeight="1" x14ac:dyDescent="0.25">
      <c r="B130" s="16"/>
      <c r="C130" s="17" t="s">
        <v>58</v>
      </c>
      <c r="D130" s="19">
        <v>30.353000000000002</v>
      </c>
      <c r="E130" s="18">
        <v>0</v>
      </c>
      <c r="F130" s="18">
        <f t="shared" si="34"/>
        <v>30.353000000000002</v>
      </c>
      <c r="G130" s="18">
        <v>0</v>
      </c>
      <c r="H130" s="18">
        <v>0</v>
      </c>
      <c r="I130" s="18">
        <f t="shared" si="35"/>
        <v>30.353000000000002</v>
      </c>
    </row>
    <row r="131" spans="2:11" ht="10.5" customHeight="1" x14ac:dyDescent="0.25">
      <c r="B131" s="16"/>
      <c r="C131" s="17" t="s">
        <v>59</v>
      </c>
      <c r="D131" s="19">
        <v>469.88400000000001</v>
      </c>
      <c r="E131" s="18">
        <v>0</v>
      </c>
      <c r="F131" s="18">
        <f>+D131+E131</f>
        <v>469.88400000000001</v>
      </c>
      <c r="G131" s="18">
        <v>0</v>
      </c>
      <c r="H131" s="18">
        <v>0</v>
      </c>
      <c r="I131" s="18">
        <f t="shared" si="35"/>
        <v>469.88400000000001</v>
      </c>
    </row>
    <row r="132" spans="2:11" ht="11.25" customHeight="1" x14ac:dyDescent="0.25">
      <c r="B132" s="16"/>
      <c r="C132" s="17" t="s">
        <v>60</v>
      </c>
      <c r="D132" s="19">
        <v>0</v>
      </c>
      <c r="E132" s="18">
        <v>0</v>
      </c>
      <c r="F132" s="18">
        <f t="shared" si="34"/>
        <v>0</v>
      </c>
      <c r="G132" s="18">
        <v>0</v>
      </c>
      <c r="H132" s="18">
        <v>0</v>
      </c>
      <c r="I132" s="18">
        <f t="shared" si="35"/>
        <v>0</v>
      </c>
    </row>
    <row r="133" spans="2:11" ht="10.5" customHeight="1" x14ac:dyDescent="0.25">
      <c r="B133" s="16"/>
      <c r="C133" s="17" t="s">
        <v>61</v>
      </c>
      <c r="D133" s="19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f t="shared" si="35"/>
        <v>0</v>
      </c>
    </row>
    <row r="134" spans="2:11" ht="10.5" customHeight="1" x14ac:dyDescent="0.25">
      <c r="B134" s="16"/>
      <c r="C134" s="17" t="s">
        <v>62</v>
      </c>
      <c r="D134" s="19">
        <v>0</v>
      </c>
      <c r="E134" s="18">
        <v>0</v>
      </c>
      <c r="F134" s="18">
        <f t="shared" si="34"/>
        <v>0</v>
      </c>
      <c r="G134" s="18">
        <v>0</v>
      </c>
      <c r="H134" s="18">
        <v>0</v>
      </c>
      <c r="I134" s="18">
        <f t="shared" si="35"/>
        <v>0</v>
      </c>
    </row>
    <row r="135" spans="2:11" ht="10.5" customHeight="1" x14ac:dyDescent="0.25">
      <c r="B135" s="16"/>
      <c r="C135" s="17" t="s">
        <v>63</v>
      </c>
      <c r="D135" s="19">
        <v>0</v>
      </c>
      <c r="E135" s="18">
        <v>0</v>
      </c>
      <c r="F135" s="18">
        <f t="shared" si="34"/>
        <v>0</v>
      </c>
      <c r="G135" s="18">
        <v>0</v>
      </c>
      <c r="H135" s="18">
        <f t="shared" ref="H135:H136" si="37">G135</f>
        <v>0</v>
      </c>
      <c r="I135" s="18">
        <f t="shared" si="35"/>
        <v>0</v>
      </c>
    </row>
    <row r="136" spans="2:11" ht="10.5" customHeight="1" x14ac:dyDescent="0.25">
      <c r="B136" s="16"/>
      <c r="C136" s="17" t="s">
        <v>64</v>
      </c>
      <c r="D136" s="19">
        <v>0</v>
      </c>
      <c r="E136" s="18">
        <v>0</v>
      </c>
      <c r="F136" s="18">
        <f t="shared" si="34"/>
        <v>0</v>
      </c>
      <c r="G136" s="18">
        <v>0</v>
      </c>
      <c r="H136" s="18">
        <f t="shared" si="37"/>
        <v>0</v>
      </c>
      <c r="I136" s="18">
        <f t="shared" si="35"/>
        <v>0</v>
      </c>
    </row>
    <row r="137" spans="2:11" x14ac:dyDescent="0.25">
      <c r="B137" s="13" t="s">
        <v>65</v>
      </c>
      <c r="C137" s="14"/>
      <c r="D137" s="15">
        <f>SUM(D138:D140)</f>
        <v>6346153.4029999999</v>
      </c>
      <c r="E137" s="15">
        <f>SUM(E138:E140)</f>
        <v>0</v>
      </c>
      <c r="F137" s="15">
        <f>SUM(F138:F140)</f>
        <v>6346153.4029999999</v>
      </c>
      <c r="G137" s="15">
        <f>SUM(G138:G140)</f>
        <v>2775621.6745600002</v>
      </c>
      <c r="H137" s="15">
        <f>SUM(H138:H140)</f>
        <v>2775621.6745600002</v>
      </c>
      <c r="I137" s="15">
        <f t="shared" si="35"/>
        <v>3570531.7284399997</v>
      </c>
      <c r="K137" s="2"/>
    </row>
    <row r="138" spans="2:11" ht="10.5" customHeight="1" x14ac:dyDescent="0.25">
      <c r="B138" s="16"/>
      <c r="C138" s="17" t="s">
        <v>66</v>
      </c>
      <c r="D138" s="19">
        <v>6346153.4029999999</v>
      </c>
      <c r="E138" s="18">
        <v>0</v>
      </c>
      <c r="F138" s="18">
        <f>+D138+E138</f>
        <v>6346153.4029999999</v>
      </c>
      <c r="G138" s="18">
        <v>2775621.6745600002</v>
      </c>
      <c r="H138" s="18">
        <v>2775621.6745600002</v>
      </c>
      <c r="I138" s="18">
        <f t="shared" si="35"/>
        <v>3570531.7284399997</v>
      </c>
    </row>
    <row r="139" spans="2:11" ht="10.5" customHeight="1" x14ac:dyDescent="0.25">
      <c r="B139" s="16"/>
      <c r="C139" s="17" t="s">
        <v>67</v>
      </c>
      <c r="D139" s="19">
        <v>0</v>
      </c>
      <c r="E139" s="18">
        <v>0</v>
      </c>
      <c r="F139" s="18">
        <f>+D139+E139</f>
        <v>0</v>
      </c>
      <c r="G139" s="18">
        <v>0</v>
      </c>
      <c r="H139" s="18">
        <f>G139</f>
        <v>0</v>
      </c>
      <c r="I139" s="18">
        <f t="shared" si="35"/>
        <v>0</v>
      </c>
    </row>
    <row r="140" spans="2:11" ht="10.5" customHeight="1" x14ac:dyDescent="0.25">
      <c r="B140" s="16"/>
      <c r="C140" s="17" t="s">
        <v>68</v>
      </c>
      <c r="D140" s="19">
        <v>0</v>
      </c>
      <c r="E140" s="18">
        <v>0</v>
      </c>
      <c r="F140" s="18">
        <f>+D140+E140</f>
        <v>0</v>
      </c>
      <c r="G140" s="18">
        <v>0</v>
      </c>
      <c r="H140" s="18">
        <f>G140</f>
        <v>0</v>
      </c>
      <c r="I140" s="18">
        <f t="shared" si="35"/>
        <v>0</v>
      </c>
    </row>
    <row r="141" spans="2:11" ht="11.25" customHeight="1" x14ac:dyDescent="0.25">
      <c r="B141" s="13" t="s">
        <v>69</v>
      </c>
      <c r="C141" s="14"/>
      <c r="D141" s="15">
        <f>SUM(D142:D149)</f>
        <v>0</v>
      </c>
      <c r="E141" s="15">
        <f>SUM(E142:E149)</f>
        <v>0</v>
      </c>
      <c r="F141" s="15">
        <f>SUM(F142:F149)</f>
        <v>0</v>
      </c>
      <c r="G141" s="15">
        <f>SUM(G142:G149)</f>
        <v>0</v>
      </c>
      <c r="H141" s="15">
        <f>SUM(H142:H149)</f>
        <v>0</v>
      </c>
      <c r="I141" s="15">
        <f t="shared" si="35"/>
        <v>0</v>
      </c>
    </row>
    <row r="142" spans="2:11" ht="10.5" customHeight="1" x14ac:dyDescent="0.25">
      <c r="B142" s="16"/>
      <c r="C142" s="17" t="s">
        <v>70</v>
      </c>
      <c r="D142" s="19">
        <v>0</v>
      </c>
      <c r="E142" s="18">
        <v>0</v>
      </c>
      <c r="F142" s="18">
        <f t="shared" ref="F142:F149" si="38">+D142+E142</f>
        <v>0</v>
      </c>
      <c r="G142" s="18">
        <v>0</v>
      </c>
      <c r="H142" s="18">
        <f t="shared" ref="H142:H149" si="39">G142</f>
        <v>0</v>
      </c>
      <c r="I142" s="18">
        <f t="shared" si="35"/>
        <v>0</v>
      </c>
    </row>
    <row r="143" spans="2:11" ht="10.5" customHeight="1" x14ac:dyDescent="0.25">
      <c r="B143" s="16"/>
      <c r="C143" s="17" t="s">
        <v>71</v>
      </c>
      <c r="D143" s="19">
        <v>0</v>
      </c>
      <c r="E143" s="18">
        <v>0</v>
      </c>
      <c r="F143" s="18">
        <f t="shared" si="38"/>
        <v>0</v>
      </c>
      <c r="G143" s="18">
        <v>0</v>
      </c>
      <c r="H143" s="18">
        <f t="shared" si="39"/>
        <v>0</v>
      </c>
      <c r="I143" s="18">
        <f t="shared" si="35"/>
        <v>0</v>
      </c>
    </row>
    <row r="144" spans="2:11" ht="10.5" customHeight="1" x14ac:dyDescent="0.25">
      <c r="B144" s="16"/>
      <c r="C144" s="17" t="s">
        <v>72</v>
      </c>
      <c r="D144" s="19">
        <v>0</v>
      </c>
      <c r="E144" s="18">
        <v>0</v>
      </c>
      <c r="F144" s="18">
        <f t="shared" si="38"/>
        <v>0</v>
      </c>
      <c r="G144" s="18">
        <v>0</v>
      </c>
      <c r="H144" s="18">
        <f t="shared" si="39"/>
        <v>0</v>
      </c>
      <c r="I144" s="18">
        <f t="shared" si="35"/>
        <v>0</v>
      </c>
    </row>
    <row r="145" spans="2:9" ht="10.5" customHeight="1" x14ac:dyDescent="0.25">
      <c r="B145" s="16"/>
      <c r="C145" s="17" t="s">
        <v>73</v>
      </c>
      <c r="D145" s="19">
        <v>0</v>
      </c>
      <c r="E145" s="18">
        <v>0</v>
      </c>
      <c r="F145" s="18">
        <f t="shared" si="38"/>
        <v>0</v>
      </c>
      <c r="G145" s="18">
        <v>0</v>
      </c>
      <c r="H145" s="18">
        <f t="shared" si="39"/>
        <v>0</v>
      </c>
      <c r="I145" s="18">
        <f t="shared" si="35"/>
        <v>0</v>
      </c>
    </row>
    <row r="146" spans="2:9" ht="10.5" customHeight="1" x14ac:dyDescent="0.25">
      <c r="B146" s="16"/>
      <c r="C146" s="17" t="s">
        <v>74</v>
      </c>
      <c r="D146" s="19">
        <v>0</v>
      </c>
      <c r="E146" s="18">
        <v>0</v>
      </c>
      <c r="F146" s="18">
        <f>+D146+E146</f>
        <v>0</v>
      </c>
      <c r="G146" s="18">
        <v>0</v>
      </c>
      <c r="H146" s="18">
        <f t="shared" si="39"/>
        <v>0</v>
      </c>
      <c r="I146" s="18">
        <f t="shared" si="35"/>
        <v>0</v>
      </c>
    </row>
    <row r="147" spans="2:9" ht="10.5" customHeight="1" x14ac:dyDescent="0.25">
      <c r="B147" s="16"/>
      <c r="C147" s="17" t="s">
        <v>75</v>
      </c>
      <c r="D147" s="19">
        <v>0</v>
      </c>
      <c r="E147" s="18">
        <v>0</v>
      </c>
      <c r="F147" s="18">
        <f t="shared" si="38"/>
        <v>0</v>
      </c>
      <c r="G147" s="18">
        <v>0</v>
      </c>
      <c r="H147" s="18">
        <f t="shared" si="39"/>
        <v>0</v>
      </c>
      <c r="I147" s="18">
        <f t="shared" si="35"/>
        <v>0</v>
      </c>
    </row>
    <row r="148" spans="2:9" ht="10.5" customHeight="1" x14ac:dyDescent="0.25">
      <c r="B148" s="16"/>
      <c r="C148" s="17" t="s">
        <v>76</v>
      </c>
      <c r="D148" s="19">
        <v>0</v>
      </c>
      <c r="E148" s="18">
        <v>0</v>
      </c>
      <c r="F148" s="18">
        <f t="shared" si="38"/>
        <v>0</v>
      </c>
      <c r="G148" s="18">
        <v>0</v>
      </c>
      <c r="H148" s="18">
        <f t="shared" si="39"/>
        <v>0</v>
      </c>
      <c r="I148" s="18">
        <f t="shared" si="35"/>
        <v>0</v>
      </c>
    </row>
    <row r="149" spans="2:9" ht="10.5" customHeight="1" x14ac:dyDescent="0.25">
      <c r="B149" s="16"/>
      <c r="C149" s="17" t="s">
        <v>77</v>
      </c>
      <c r="D149" s="19">
        <v>0</v>
      </c>
      <c r="E149" s="18">
        <v>0</v>
      </c>
      <c r="F149" s="18">
        <f t="shared" si="38"/>
        <v>0</v>
      </c>
      <c r="G149" s="18">
        <v>0</v>
      </c>
      <c r="H149" s="18">
        <f t="shared" si="39"/>
        <v>0</v>
      </c>
      <c r="I149" s="18">
        <f t="shared" si="35"/>
        <v>0</v>
      </c>
    </row>
    <row r="150" spans="2:9" ht="10.5" customHeight="1" x14ac:dyDescent="0.25">
      <c r="B150" s="13" t="s">
        <v>78</v>
      </c>
      <c r="C150" s="14"/>
      <c r="D150" s="15">
        <f>SUM(D151:D153)</f>
        <v>23604049.563999999</v>
      </c>
      <c r="E150" s="15">
        <f>SUM(E151:E153)</f>
        <v>0</v>
      </c>
      <c r="F150" s="15">
        <f>SUM(F151:F153)</f>
        <v>23604049.563999999</v>
      </c>
      <c r="G150" s="15">
        <f>SUM(G151:G153)</f>
        <v>12506185.424009999</v>
      </c>
      <c r="H150" s="15">
        <f>SUM(H151:H153)</f>
        <v>12506185.424009999</v>
      </c>
      <c r="I150" s="15">
        <f t="shared" si="35"/>
        <v>11097864.13999</v>
      </c>
    </row>
    <row r="151" spans="2:9" ht="10.5" customHeight="1" x14ac:dyDescent="0.25">
      <c r="B151" s="16"/>
      <c r="C151" s="17" t="s">
        <v>79</v>
      </c>
      <c r="D151" s="19">
        <v>76771.706999999995</v>
      </c>
      <c r="E151" s="18">
        <v>0</v>
      </c>
      <c r="F151" s="18">
        <f>+D151+E151</f>
        <v>76771.706999999995</v>
      </c>
      <c r="G151" s="18">
        <v>0</v>
      </c>
      <c r="H151" s="18">
        <f>G151</f>
        <v>0</v>
      </c>
      <c r="I151" s="18">
        <f t="shared" si="35"/>
        <v>76771.706999999995</v>
      </c>
    </row>
    <row r="152" spans="2:9" ht="10.5" customHeight="1" x14ac:dyDescent="0.25">
      <c r="B152" s="16"/>
      <c r="C152" s="17" t="s">
        <v>80</v>
      </c>
      <c r="D152" s="19">
        <v>23527277.857000001</v>
      </c>
      <c r="E152" s="18">
        <v>0</v>
      </c>
      <c r="F152" s="18">
        <f>+D152+E152</f>
        <v>23527277.857000001</v>
      </c>
      <c r="G152" s="18">
        <v>12500746.52</v>
      </c>
      <c r="H152" s="18">
        <v>12500746.52</v>
      </c>
      <c r="I152" s="18">
        <f>+F152-G152</f>
        <v>11026531.337000001</v>
      </c>
    </row>
    <row r="153" spans="2:9" ht="10.5" customHeight="1" x14ac:dyDescent="0.25">
      <c r="B153" s="16"/>
      <c r="C153" s="17" t="s">
        <v>81</v>
      </c>
      <c r="D153" s="19">
        <v>0</v>
      </c>
      <c r="E153" s="18">
        <v>0</v>
      </c>
      <c r="F153" s="18">
        <f>+D153+E153</f>
        <v>0</v>
      </c>
      <c r="G153" s="18">
        <f>5438.90401</f>
        <v>5438.9040100000002</v>
      </c>
      <c r="H153" s="18">
        <v>5438.9040100000002</v>
      </c>
      <c r="I153" s="18">
        <f t="shared" si="35"/>
        <v>-5438.9040100000002</v>
      </c>
    </row>
    <row r="154" spans="2:9" ht="12.75" customHeight="1" x14ac:dyDescent="0.25">
      <c r="B154" s="13" t="s">
        <v>82</v>
      </c>
      <c r="C154" s="14"/>
      <c r="D154" s="15">
        <f>SUM(D155:D161)</f>
        <v>362531.9</v>
      </c>
      <c r="E154" s="15">
        <f>SUM(E155:E161)</f>
        <v>0</v>
      </c>
      <c r="F154" s="15">
        <f>SUM(F155:F161)</f>
        <v>362531.9</v>
      </c>
      <c r="G154" s="15">
        <f>SUM(G155:G161)</f>
        <v>365164.71256000001</v>
      </c>
      <c r="H154" s="15">
        <f>SUM(H155:H161)</f>
        <v>365164.71256000001</v>
      </c>
      <c r="I154" s="15">
        <f t="shared" si="35"/>
        <v>-2632.8125599999912</v>
      </c>
    </row>
    <row r="155" spans="2:9" ht="10.5" customHeight="1" x14ac:dyDescent="0.25">
      <c r="B155" s="16"/>
      <c r="C155" s="17" t="s">
        <v>83</v>
      </c>
      <c r="D155" s="19">
        <v>0</v>
      </c>
      <c r="E155" s="18">
        <v>0</v>
      </c>
      <c r="F155" s="18">
        <f t="shared" ref="F155:F161" si="40">+D155+E155</f>
        <v>0</v>
      </c>
      <c r="G155" s="18">
        <v>0</v>
      </c>
      <c r="H155" s="18">
        <f t="shared" ref="H155:H161" si="41">G155</f>
        <v>0</v>
      </c>
      <c r="I155" s="18">
        <f t="shared" si="35"/>
        <v>0</v>
      </c>
    </row>
    <row r="156" spans="2:9" ht="10.5" customHeight="1" x14ac:dyDescent="0.25">
      <c r="B156" s="16"/>
      <c r="C156" s="17" t="s">
        <v>84</v>
      </c>
      <c r="D156" s="19">
        <v>362531.9</v>
      </c>
      <c r="E156" s="18">
        <v>0</v>
      </c>
      <c r="F156" s="18">
        <f>+D156+E156</f>
        <v>362531.9</v>
      </c>
      <c r="G156" s="18">
        <v>365164.71256000001</v>
      </c>
      <c r="H156" s="18">
        <v>365164.71256000001</v>
      </c>
      <c r="I156" s="18">
        <f t="shared" si="35"/>
        <v>-2632.8125599999912</v>
      </c>
    </row>
    <row r="157" spans="2:9" ht="10.5" customHeight="1" x14ac:dyDescent="0.25">
      <c r="B157" s="16"/>
      <c r="C157" s="17" t="s">
        <v>85</v>
      </c>
      <c r="D157" s="19">
        <v>0</v>
      </c>
      <c r="E157" s="18">
        <v>0</v>
      </c>
      <c r="F157" s="18">
        <f t="shared" si="40"/>
        <v>0</v>
      </c>
      <c r="G157" s="18">
        <v>0</v>
      </c>
      <c r="H157" s="18">
        <f t="shared" si="41"/>
        <v>0</v>
      </c>
      <c r="I157" s="18">
        <f t="shared" si="35"/>
        <v>0</v>
      </c>
    </row>
    <row r="158" spans="2:9" ht="10.5" customHeight="1" x14ac:dyDescent="0.25">
      <c r="B158" s="16"/>
      <c r="C158" s="17" t="s">
        <v>86</v>
      </c>
      <c r="D158" s="19">
        <v>0</v>
      </c>
      <c r="E158" s="18">
        <v>0</v>
      </c>
      <c r="F158" s="18">
        <f t="shared" si="40"/>
        <v>0</v>
      </c>
      <c r="G158" s="18">
        <v>0</v>
      </c>
      <c r="H158" s="18">
        <f t="shared" si="41"/>
        <v>0</v>
      </c>
      <c r="I158" s="18">
        <f t="shared" si="35"/>
        <v>0</v>
      </c>
    </row>
    <row r="159" spans="2:9" ht="10.5" customHeight="1" x14ac:dyDescent="0.25">
      <c r="B159" s="16"/>
      <c r="C159" s="17" t="s">
        <v>87</v>
      </c>
      <c r="D159" s="19">
        <v>0</v>
      </c>
      <c r="E159" s="18">
        <v>0</v>
      </c>
      <c r="F159" s="18">
        <f t="shared" si="40"/>
        <v>0</v>
      </c>
      <c r="G159" s="18">
        <v>0</v>
      </c>
      <c r="H159" s="18">
        <f t="shared" si="41"/>
        <v>0</v>
      </c>
      <c r="I159" s="18">
        <f t="shared" si="35"/>
        <v>0</v>
      </c>
    </row>
    <row r="160" spans="2:9" ht="10.5" customHeight="1" x14ac:dyDescent="0.25">
      <c r="B160" s="16"/>
      <c r="C160" s="17" t="s">
        <v>88</v>
      </c>
      <c r="D160" s="19">
        <v>0</v>
      </c>
      <c r="E160" s="18">
        <v>0</v>
      </c>
      <c r="F160" s="18">
        <f t="shared" si="40"/>
        <v>0</v>
      </c>
      <c r="G160" s="18">
        <v>0</v>
      </c>
      <c r="H160" s="18">
        <f t="shared" si="41"/>
        <v>0</v>
      </c>
      <c r="I160" s="18">
        <f t="shared" si="35"/>
        <v>0</v>
      </c>
    </row>
    <row r="161" spans="2:12" ht="10.5" customHeight="1" x14ac:dyDescent="0.25">
      <c r="B161" s="16"/>
      <c r="C161" s="17" t="s">
        <v>89</v>
      </c>
      <c r="D161" s="19">
        <v>0</v>
      </c>
      <c r="E161" s="18">
        <v>0</v>
      </c>
      <c r="F161" s="18">
        <f t="shared" si="40"/>
        <v>0</v>
      </c>
      <c r="G161" s="18">
        <v>0</v>
      </c>
      <c r="H161" s="18">
        <f t="shared" si="41"/>
        <v>0</v>
      </c>
      <c r="I161" s="18">
        <f t="shared" si="35"/>
        <v>0</v>
      </c>
    </row>
    <row r="162" spans="2:12" ht="1.5" customHeight="1" x14ac:dyDescent="0.25">
      <c r="B162" s="16"/>
      <c r="C162" s="17"/>
      <c r="D162" s="19"/>
      <c r="E162" s="18"/>
      <c r="F162" s="18"/>
      <c r="G162" s="18"/>
      <c r="H162" s="18"/>
      <c r="I162" s="18"/>
    </row>
    <row r="163" spans="2:12" x14ac:dyDescent="0.25">
      <c r="B163" s="13" t="s">
        <v>91</v>
      </c>
      <c r="C163" s="14"/>
      <c r="D163" s="15">
        <f t="shared" ref="D163:G163" si="42">+D11+D88</f>
        <v>310593392.62099999</v>
      </c>
      <c r="E163" s="15">
        <f>+E11+E88</f>
        <v>4242311.1162800007</v>
      </c>
      <c r="F163" s="15">
        <f t="shared" si="42"/>
        <v>314835703.73728001</v>
      </c>
      <c r="G163" s="15">
        <f t="shared" si="42"/>
        <v>157346705.30302</v>
      </c>
      <c r="H163" s="15">
        <f>+H11+H88</f>
        <v>155430733.53356999</v>
      </c>
      <c r="I163" s="15">
        <f>+I11+I88</f>
        <v>157488998.43425995</v>
      </c>
      <c r="L163" s="12"/>
    </row>
    <row r="164" spans="2:12" ht="3.75" customHeight="1" x14ac:dyDescent="0.25">
      <c r="B164" s="21"/>
      <c r="C164" s="22"/>
      <c r="D164" s="29"/>
      <c r="E164" s="29"/>
      <c r="F164" s="29"/>
      <c r="G164" s="29"/>
      <c r="H164" s="29"/>
      <c r="I164" s="29"/>
    </row>
    <row r="166" spans="2:12" x14ac:dyDescent="0.25">
      <c r="H166" s="30"/>
      <c r="J166" s="31"/>
    </row>
    <row r="167" spans="2:12" x14ac:dyDescent="0.25">
      <c r="J167" s="31"/>
    </row>
    <row r="168" spans="2:12" x14ac:dyDescent="0.25">
      <c r="J168" s="31"/>
    </row>
    <row r="169" spans="2:12" x14ac:dyDescent="0.25">
      <c r="J169" s="31"/>
    </row>
    <row r="170" spans="2:12" x14ac:dyDescent="0.25">
      <c r="J170" s="31"/>
    </row>
    <row r="171" spans="2:12" x14ac:dyDescent="0.25">
      <c r="J171" s="31"/>
    </row>
    <row r="172" spans="2:12" x14ac:dyDescent="0.25">
      <c r="J172" s="31"/>
    </row>
    <row r="173" spans="2:12" x14ac:dyDescent="0.25">
      <c r="J173" s="31"/>
    </row>
    <row r="174" spans="2:12" x14ac:dyDescent="0.25">
      <c r="J174" s="31"/>
    </row>
    <row r="175" spans="2:12" x14ac:dyDescent="0.25">
      <c r="J175" s="31"/>
    </row>
    <row r="176" spans="2:12" x14ac:dyDescent="0.25">
      <c r="J176" s="31"/>
    </row>
    <row r="178" spans="2:15" s="12" customFormat="1" x14ac:dyDescent="0.25">
      <c r="B178"/>
      <c r="C178"/>
      <c r="J178" s="2"/>
      <c r="K178"/>
      <c r="L178"/>
      <c r="M178"/>
      <c r="N178"/>
      <c r="O178"/>
    </row>
    <row r="179" spans="2:15" s="12" customFormat="1" x14ac:dyDescent="0.25">
      <c r="B179"/>
      <c r="C179"/>
      <c r="J179" s="2"/>
      <c r="K179"/>
      <c r="L179"/>
      <c r="M179"/>
      <c r="N179"/>
      <c r="O179"/>
    </row>
    <row r="180" spans="2:15" s="12" customFormat="1" x14ac:dyDescent="0.25">
      <c r="B180"/>
      <c r="C180"/>
      <c r="J180" s="2"/>
      <c r="K180"/>
      <c r="L180"/>
      <c r="M180"/>
      <c r="N180"/>
      <c r="O180"/>
    </row>
  </sheetData>
  <mergeCells count="32">
    <mergeCell ref="B154:C154"/>
    <mergeCell ref="B163:C163"/>
    <mergeCell ref="B107:C107"/>
    <mergeCell ref="B117:C117"/>
    <mergeCell ref="B127:C127"/>
    <mergeCell ref="B137:C137"/>
    <mergeCell ref="B141:C141"/>
    <mergeCell ref="B150:C150"/>
    <mergeCell ref="B64:C64"/>
    <mergeCell ref="B73:C73"/>
    <mergeCell ref="B77:C77"/>
    <mergeCell ref="B88:C88"/>
    <mergeCell ref="B89:C89"/>
    <mergeCell ref="B97:C97"/>
    <mergeCell ref="B12:C12"/>
    <mergeCell ref="B20:C20"/>
    <mergeCell ref="B30:C30"/>
    <mergeCell ref="B40:C40"/>
    <mergeCell ref="B50:C50"/>
    <mergeCell ref="B60:C60"/>
    <mergeCell ref="B7:I7"/>
    <mergeCell ref="B8:I8"/>
    <mergeCell ref="B9:C10"/>
    <mergeCell ref="D9:H9"/>
    <mergeCell ref="I9:I10"/>
    <mergeCell ref="B11:C11"/>
    <mergeCell ref="B1:I1"/>
    <mergeCell ref="B2:I2"/>
    <mergeCell ref="B3:I3"/>
    <mergeCell ref="B4:I4"/>
    <mergeCell ref="B5:I5"/>
    <mergeCell ref="B6:I6"/>
  </mergeCells>
  <printOptions horizontalCentered="1"/>
  <pageMargins left="0.11811023622047245" right="0.31496062992125984" top="0.78740157480314965" bottom="0.55118110236220474" header="0.31496062992125984" footer="0.31496062992125984"/>
  <pageSetup scale="71" fitToHeight="2" orientation="portrait" r:id="rId1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6a LDF JUN </vt:lpstr>
      <vt:lpstr>'FORMATO 6a LDF JUN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2023-07-31T21:29:35Z</cp:lastPrinted>
  <dcterms:created xsi:type="dcterms:W3CDTF">2023-07-31T21:27:26Z</dcterms:created>
  <dcterms:modified xsi:type="dcterms:W3CDTF">2023-07-31T21:30:10Z</dcterms:modified>
</cp:coreProperties>
</file>