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61" i="1" l="1"/>
  <c r="F61" i="1"/>
  <c r="G138" i="1"/>
  <c r="F138" i="1"/>
  <c r="C46" i="1"/>
  <c r="C41" i="1"/>
  <c r="G46" i="1"/>
  <c r="F46" i="1"/>
  <c r="G123" i="1"/>
  <c r="F123" i="1"/>
  <c r="C152" i="1" l="1"/>
  <c r="C75" i="1"/>
  <c r="C74" i="1"/>
  <c r="C63" i="1"/>
  <c r="C62" i="1"/>
  <c r="C61" i="1"/>
  <c r="C51" i="1"/>
  <c r="C123" i="1"/>
  <c r="C44" i="1"/>
  <c r="C39" i="1"/>
  <c r="C38" i="1"/>
  <c r="C37" i="1"/>
  <c r="C36" i="1"/>
  <c r="C33" i="1"/>
  <c r="C27" i="1"/>
  <c r="C26" i="1"/>
  <c r="C21" i="1"/>
  <c r="C20" i="1" l="1"/>
  <c r="C97" i="1"/>
  <c r="G12" i="1" l="1"/>
  <c r="F12" i="1"/>
  <c r="F90" i="1"/>
  <c r="G76" i="1" l="1"/>
  <c r="G74" i="1"/>
  <c r="F76" i="1"/>
  <c r="G82" i="1"/>
  <c r="F82" i="1"/>
  <c r="G79" i="1"/>
  <c r="F79" i="1"/>
  <c r="G78" i="1"/>
  <c r="F78" i="1"/>
  <c r="G75" i="1"/>
  <c r="F75" i="1"/>
  <c r="G63" i="1"/>
  <c r="F63" i="1"/>
  <c r="G62" i="1"/>
  <c r="F62" i="1"/>
  <c r="G58" i="1"/>
  <c r="F58" i="1"/>
  <c r="G44" i="1"/>
  <c r="F44" i="1"/>
  <c r="G41" i="1"/>
  <c r="F41" i="1"/>
  <c r="G39" i="1"/>
  <c r="F39" i="1"/>
  <c r="G38" i="1"/>
  <c r="F38" i="1"/>
  <c r="G37" i="1"/>
  <c r="F37" i="1"/>
  <c r="G36" i="1"/>
  <c r="F36" i="1"/>
  <c r="G33" i="1"/>
  <c r="F33" i="1"/>
  <c r="G27" i="1"/>
  <c r="F27" i="1"/>
  <c r="G26" i="1"/>
  <c r="F26" i="1"/>
  <c r="G21" i="1"/>
  <c r="F21" i="1"/>
  <c r="F11" i="1"/>
  <c r="E153" i="1"/>
  <c r="E140" i="1"/>
  <c r="C138" i="1"/>
  <c r="E139" i="1"/>
  <c r="E133" i="1"/>
  <c r="E129" i="1"/>
  <c r="E128" i="1"/>
  <c r="D127" i="1"/>
  <c r="C127" i="1"/>
  <c r="E121" i="1"/>
  <c r="E118" i="1"/>
  <c r="C117" i="1"/>
  <c r="E113" i="1"/>
  <c r="G107" i="1"/>
  <c r="D107" i="1"/>
  <c r="E116" i="1"/>
  <c r="E115" i="1"/>
  <c r="E114" i="1"/>
  <c r="E110" i="1"/>
  <c r="E104" i="1"/>
  <c r="E103" i="1"/>
  <c r="G97" i="1"/>
  <c r="F97" i="1"/>
  <c r="D97" i="1"/>
  <c r="E98" i="1"/>
  <c r="E97" i="1" l="1"/>
  <c r="E127" i="1"/>
  <c r="E107" i="1"/>
  <c r="G117" i="1"/>
  <c r="F117" i="1"/>
  <c r="F115" i="1"/>
  <c r="F107" i="1" s="1"/>
  <c r="F128" i="1"/>
  <c r="F152" i="1" l="1"/>
  <c r="F139" i="1"/>
  <c r="H115" i="1"/>
  <c r="C12" i="1" l="1"/>
  <c r="E79" i="1" l="1"/>
  <c r="H79" i="1" s="1"/>
  <c r="E78" i="1"/>
  <c r="E46" i="1"/>
  <c r="E12" i="1"/>
  <c r="G77" i="1"/>
  <c r="G73" i="1"/>
  <c r="G64" i="1"/>
  <c r="G60" i="1"/>
  <c r="G50" i="1"/>
  <c r="G40" i="1"/>
  <c r="G30" i="1"/>
  <c r="G20" i="1"/>
  <c r="G11" i="1"/>
  <c r="F77" i="1"/>
  <c r="F73" i="1"/>
  <c r="F64" i="1"/>
  <c r="F60" i="1"/>
  <c r="F50" i="1"/>
  <c r="F40" i="1"/>
  <c r="F30" i="1"/>
  <c r="F20" i="1"/>
  <c r="E84" i="1"/>
  <c r="H84" i="1" s="1"/>
  <c r="E83" i="1"/>
  <c r="H83" i="1" s="1"/>
  <c r="E82" i="1"/>
  <c r="H82" i="1" s="1"/>
  <c r="E81" i="1"/>
  <c r="H81" i="1" s="1"/>
  <c r="E80" i="1"/>
  <c r="H80" i="1" s="1"/>
  <c r="E76" i="1"/>
  <c r="H76" i="1" s="1"/>
  <c r="E75" i="1"/>
  <c r="E74" i="1"/>
  <c r="E72" i="1"/>
  <c r="H72" i="1" s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3" i="1"/>
  <c r="E62" i="1"/>
  <c r="E61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E49" i="1"/>
  <c r="H49" i="1" s="1"/>
  <c r="E48" i="1"/>
  <c r="H48" i="1" s="1"/>
  <c r="E47" i="1"/>
  <c r="H47" i="1" s="1"/>
  <c r="E45" i="1"/>
  <c r="H45" i="1" s="1"/>
  <c r="E44" i="1"/>
  <c r="E43" i="1"/>
  <c r="H43" i="1" s="1"/>
  <c r="E42" i="1"/>
  <c r="H42" i="1" s="1"/>
  <c r="E41" i="1"/>
  <c r="E39" i="1"/>
  <c r="E38" i="1"/>
  <c r="E37" i="1"/>
  <c r="E36" i="1"/>
  <c r="E35" i="1"/>
  <c r="H35" i="1" s="1"/>
  <c r="E34" i="1"/>
  <c r="H34" i="1" s="1"/>
  <c r="E33" i="1"/>
  <c r="E32" i="1"/>
  <c r="H32" i="1" s="1"/>
  <c r="E31" i="1"/>
  <c r="E29" i="1"/>
  <c r="H29" i="1" s="1"/>
  <c r="E28" i="1"/>
  <c r="H28" i="1" s="1"/>
  <c r="E27" i="1"/>
  <c r="E26" i="1"/>
  <c r="E25" i="1"/>
  <c r="H25" i="1" s="1"/>
  <c r="E24" i="1"/>
  <c r="H24" i="1" s="1"/>
  <c r="E23" i="1"/>
  <c r="H23" i="1" s="1"/>
  <c r="E22" i="1"/>
  <c r="H22" i="1" s="1"/>
  <c r="E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D77" i="1"/>
  <c r="D73" i="1"/>
  <c r="D64" i="1"/>
  <c r="D60" i="1"/>
  <c r="D50" i="1"/>
  <c r="D40" i="1"/>
  <c r="D30" i="1"/>
  <c r="D20" i="1"/>
  <c r="D11" i="1"/>
  <c r="C77" i="1"/>
  <c r="C73" i="1"/>
  <c r="C64" i="1"/>
  <c r="C50" i="1"/>
  <c r="C40" i="1"/>
  <c r="C30" i="1"/>
  <c r="C11" i="1"/>
  <c r="E30" i="1" l="1"/>
  <c r="H64" i="1"/>
  <c r="H75" i="1"/>
  <c r="H63" i="1"/>
  <c r="H62" i="1"/>
  <c r="E60" i="1"/>
  <c r="H51" i="1"/>
  <c r="H44" i="1"/>
  <c r="H39" i="1"/>
  <c r="H38" i="1"/>
  <c r="H37" i="1"/>
  <c r="H36" i="1"/>
  <c r="H33" i="1"/>
  <c r="H27" i="1"/>
  <c r="H26" i="1"/>
  <c r="H41" i="1"/>
  <c r="H21" i="1"/>
  <c r="E20" i="1"/>
  <c r="E64" i="1"/>
  <c r="C60" i="1"/>
  <c r="E50" i="1"/>
  <c r="H31" i="1"/>
  <c r="H30" i="1" s="1"/>
  <c r="H50" i="1"/>
  <c r="E73" i="1"/>
  <c r="H74" i="1"/>
  <c r="H78" i="1"/>
  <c r="H77" i="1" s="1"/>
  <c r="E77" i="1"/>
  <c r="H61" i="1"/>
  <c r="E40" i="1"/>
  <c r="H46" i="1"/>
  <c r="E11" i="1"/>
  <c r="H12" i="1"/>
  <c r="H11" i="1" s="1"/>
  <c r="G10" i="1"/>
  <c r="F10" i="1"/>
  <c r="D10" i="1"/>
  <c r="H20" i="1" l="1"/>
  <c r="H40" i="1"/>
  <c r="H73" i="1"/>
  <c r="C10" i="1"/>
  <c r="H60" i="1"/>
  <c r="E161" i="1"/>
  <c r="H161" i="1" s="1"/>
  <c r="E160" i="1"/>
  <c r="H160" i="1" s="1"/>
  <c r="E159" i="1"/>
  <c r="H159" i="1" s="1"/>
  <c r="E158" i="1"/>
  <c r="H158" i="1" s="1"/>
  <c r="E157" i="1"/>
  <c r="H157" i="1"/>
  <c r="E156" i="1"/>
  <c r="H156" i="1" s="1"/>
  <c r="E155" i="1"/>
  <c r="H155" i="1" s="1"/>
  <c r="F154" i="1"/>
  <c r="H153" i="1"/>
  <c r="E152" i="1"/>
  <c r="H151" i="1"/>
  <c r="F150" i="1"/>
  <c r="H149" i="1"/>
  <c r="H148" i="1"/>
  <c r="H147" i="1"/>
  <c r="H146" i="1"/>
  <c r="H145" i="1"/>
  <c r="H144" i="1"/>
  <c r="H143" i="1"/>
  <c r="H142" i="1"/>
  <c r="E141" i="1"/>
  <c r="F141" i="1"/>
  <c r="H141" i="1"/>
  <c r="H140" i="1"/>
  <c r="H139" i="1"/>
  <c r="E138" i="1"/>
  <c r="H138" i="1" s="1"/>
  <c r="F137" i="1"/>
  <c r="H136" i="1"/>
  <c r="H135" i="1"/>
  <c r="H134" i="1"/>
  <c r="H133" i="1"/>
  <c r="H132" i="1"/>
  <c r="H131" i="1"/>
  <c r="H130" i="1"/>
  <c r="H129" i="1"/>
  <c r="H128" i="1"/>
  <c r="F127" i="1"/>
  <c r="H127" i="1" s="1"/>
  <c r="H126" i="1"/>
  <c r="H125" i="1"/>
  <c r="H124" i="1"/>
  <c r="E123" i="1"/>
  <c r="H122" i="1"/>
  <c r="H121" i="1"/>
  <c r="H120" i="1"/>
  <c r="H119" i="1"/>
  <c r="H118" i="1"/>
  <c r="H116" i="1"/>
  <c r="H114" i="1"/>
  <c r="H113" i="1"/>
  <c r="H112" i="1"/>
  <c r="H111" i="1"/>
  <c r="H110" i="1"/>
  <c r="H109" i="1"/>
  <c r="H108" i="1"/>
  <c r="H106" i="1"/>
  <c r="H105" i="1"/>
  <c r="H104" i="1"/>
  <c r="H103" i="1"/>
  <c r="H102" i="1"/>
  <c r="H101" i="1"/>
  <c r="H100" i="1"/>
  <c r="H99" i="1"/>
  <c r="H98" i="1"/>
  <c r="H96" i="1"/>
  <c r="H95" i="1"/>
  <c r="H94" i="1"/>
  <c r="H93" i="1"/>
  <c r="H92" i="1"/>
  <c r="H91" i="1"/>
  <c r="G154" i="1"/>
  <c r="D154" i="1"/>
  <c r="G150" i="1"/>
  <c r="D150" i="1"/>
  <c r="G141" i="1"/>
  <c r="D141" i="1"/>
  <c r="G137" i="1"/>
  <c r="D137" i="1"/>
  <c r="G127" i="1"/>
  <c r="D117" i="1"/>
  <c r="G89" i="1"/>
  <c r="F89" i="1"/>
  <c r="D89" i="1"/>
  <c r="C154" i="1"/>
  <c r="C150" i="1"/>
  <c r="C141" i="1"/>
  <c r="C137" i="1"/>
  <c r="C107" i="1"/>
  <c r="C89" i="1"/>
  <c r="E90" i="1"/>
  <c r="H90" i="1" s="1"/>
  <c r="H89" i="1" l="1"/>
  <c r="E154" i="1"/>
  <c r="H154" i="1" s="1"/>
  <c r="H152" i="1"/>
  <c r="H123" i="1"/>
  <c r="E89" i="1"/>
  <c r="D88" i="1"/>
  <c r="D163" i="1" s="1"/>
  <c r="H107" i="1"/>
  <c r="E150" i="1"/>
  <c r="E137" i="1"/>
  <c r="H137" i="1" s="1"/>
  <c r="C88" i="1"/>
  <c r="C163" i="1" s="1"/>
  <c r="E117" i="1"/>
  <c r="H97" i="1"/>
  <c r="G88" i="1"/>
  <c r="G163" i="1" s="1"/>
  <c r="F88" i="1"/>
  <c r="F163" i="1" s="1"/>
  <c r="H10" i="1"/>
  <c r="H150" i="1" l="1"/>
  <c r="H117" i="1"/>
  <c r="E88" i="1"/>
  <c r="E10" i="1"/>
  <c r="H88" i="1" l="1"/>
  <c r="H163" i="1" s="1"/>
  <c r="E163" i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<sst xmlns="http://schemas.openxmlformats.org/spreadsheetml/2006/main" count="165" uniqueCount="92">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</sst>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zoomScaleNormal="100" workbookViewId="0">
      <selection sqref="A1:H1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7" width="12.7109375" customWidth="1"/>
    <col min="8" max="8" width="13.7109375" customWidth="1"/>
    <col min="9" max="9" width="11.7109375" bestFit="1" customWidth="1"/>
    <col min="10" max="10" width="15.140625" bestFit="1" customWidth="1"/>
    <col min="11" max="11" width="14.140625" bestFit="1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9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9" x14ac:dyDescent="0.25">
      <c r="A3" s="24" t="s">
        <v>2</v>
      </c>
      <c r="B3" s="25"/>
      <c r="C3" s="25"/>
      <c r="D3" s="25"/>
      <c r="E3" s="25"/>
      <c r="F3" s="25"/>
      <c r="G3" s="25"/>
      <c r="H3" s="26"/>
    </row>
    <row r="4" spans="1:9" x14ac:dyDescent="0.25">
      <c r="A4" s="27" t="s">
        <v>3</v>
      </c>
      <c r="B4" s="28"/>
      <c r="C4" s="28"/>
      <c r="D4" s="28"/>
      <c r="E4" s="28"/>
      <c r="F4" s="28"/>
      <c r="G4" s="28"/>
      <c r="H4" s="29"/>
    </row>
    <row r="5" spans="1:9" x14ac:dyDescent="0.25">
      <c r="A5" s="27" t="s">
        <v>4</v>
      </c>
      <c r="B5" s="28"/>
      <c r="C5" s="28"/>
      <c r="D5" s="28"/>
      <c r="E5" s="28"/>
      <c r="F5" s="28"/>
      <c r="G5" s="28"/>
      <c r="H5" s="29"/>
    </row>
    <row r="6" spans="1:9" x14ac:dyDescent="0.25">
      <c r="A6" s="27" t="s">
        <v>91</v>
      </c>
      <c r="B6" s="28"/>
      <c r="C6" s="28"/>
      <c r="D6" s="28"/>
      <c r="E6" s="28"/>
      <c r="F6" s="28"/>
      <c r="G6" s="28"/>
      <c r="H6" s="29"/>
    </row>
    <row r="7" spans="1:9" x14ac:dyDescent="0.25">
      <c r="A7" s="30" t="s">
        <v>5</v>
      </c>
      <c r="B7" s="31"/>
      <c r="C7" s="31"/>
      <c r="D7" s="31"/>
      <c r="E7" s="31"/>
      <c r="F7" s="31"/>
      <c r="G7" s="31"/>
      <c r="H7" s="32"/>
    </row>
    <row r="8" spans="1:9" x14ac:dyDescent="0.25">
      <c r="A8" s="33" t="s">
        <v>6</v>
      </c>
      <c r="B8" s="33"/>
      <c r="C8" s="33" t="s">
        <v>7</v>
      </c>
      <c r="D8" s="33"/>
      <c r="E8" s="33"/>
      <c r="F8" s="33"/>
      <c r="G8" s="33"/>
      <c r="H8" s="33" t="s">
        <v>8</v>
      </c>
    </row>
    <row r="9" spans="1:9" ht="18" x14ac:dyDescent="0.25">
      <c r="A9" s="33"/>
      <c r="B9" s="33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33"/>
    </row>
    <row r="10" spans="1:9" x14ac:dyDescent="0.25">
      <c r="A10" s="34" t="s">
        <v>14</v>
      </c>
      <c r="B10" s="35"/>
      <c r="C10" s="13">
        <f>+C11+C20+C30+C40+C50+C60+C64+C73+C77</f>
        <v>136466315.83900002</v>
      </c>
      <c r="D10" s="13">
        <f t="shared" ref="D10:H10" si="0">+D11+D20+D30+D40+D50+D60+D64+D73+D77</f>
        <v>329882.29671000177</v>
      </c>
      <c r="E10" s="13">
        <f t="shared" si="0"/>
        <v>136796198.13571</v>
      </c>
      <c r="F10" s="13">
        <f t="shared" si="0"/>
        <v>84458293.569850013</v>
      </c>
      <c r="G10" s="13">
        <f t="shared" si="0"/>
        <v>82073946.721049994</v>
      </c>
      <c r="H10" s="13">
        <f t="shared" si="0"/>
        <v>52337904.565859996</v>
      </c>
    </row>
    <row r="11" spans="1:9" x14ac:dyDescent="0.25">
      <c r="A11" s="20" t="s">
        <v>15</v>
      </c>
      <c r="B11" s="21"/>
      <c r="C11" s="10">
        <f>SUM(C12:C19)</f>
        <v>51824112.900000006</v>
      </c>
      <c r="D11" s="10">
        <f t="shared" ref="D11" si="1">SUM(D12:D19)</f>
        <v>-58252.270640000133</v>
      </c>
      <c r="E11" s="10">
        <f>SUM(E12:E19)</f>
        <v>51765860.629360005</v>
      </c>
      <c r="F11" s="10">
        <f>SUM(F12:F19)</f>
        <v>20254100.40952</v>
      </c>
      <c r="G11" s="10">
        <f>SUM(G12:G19)</f>
        <v>20254100.40952</v>
      </c>
      <c r="H11" s="10">
        <f>SUM(H12:H19)</f>
        <v>31511760.219840001</v>
      </c>
      <c r="I11" s="14"/>
    </row>
    <row r="12" spans="1:9" x14ac:dyDescent="0.25">
      <c r="A12" s="15"/>
      <c r="B12" s="16" t="s">
        <v>16</v>
      </c>
      <c r="C12" s="8">
        <f>25469576.397-7071778+5037177.5</f>
        <v>23434975.897</v>
      </c>
      <c r="D12" s="10">
        <v>4500.9564799999353</v>
      </c>
      <c r="E12" s="10">
        <f>+C12+D12</f>
        <v>23439476.85348</v>
      </c>
      <c r="F12" s="10">
        <f>11133559.77978-4030421-676962.4</f>
        <v>6426176.3797800001</v>
      </c>
      <c r="G12" s="10">
        <f>11133559.77978-4030421-676962.4</f>
        <v>6426176.3797800001</v>
      </c>
      <c r="H12" s="10">
        <f>+E12-F12</f>
        <v>17013300.473700002</v>
      </c>
    </row>
    <row r="13" spans="1:9" x14ac:dyDescent="0.25">
      <c r="A13" s="15"/>
      <c r="B13" s="16" t="s">
        <v>17</v>
      </c>
      <c r="C13" s="8">
        <v>468915.29100000003</v>
      </c>
      <c r="D13" s="10">
        <v>-77889.694760000013</v>
      </c>
      <c r="E13" s="10">
        <f t="shared" ref="E13:E19" si="2">+C13+D13</f>
        <v>391025.59623999998</v>
      </c>
      <c r="F13" s="10">
        <v>154784.47605</v>
      </c>
      <c r="G13" s="10">
        <v>154784.47605</v>
      </c>
      <c r="H13" s="10">
        <f t="shared" ref="H13:H19" si="3">+E13-F13</f>
        <v>236241.12018999999</v>
      </c>
    </row>
    <row r="14" spans="1:9" x14ac:dyDescent="0.25">
      <c r="A14" s="15"/>
      <c r="B14" s="16" t="s">
        <v>18</v>
      </c>
      <c r="C14" s="8">
        <v>16496232.707400002</v>
      </c>
      <c r="D14" s="10">
        <v>-15617.20643000002</v>
      </c>
      <c r="E14" s="10">
        <f t="shared" si="2"/>
        <v>16480615.500970002</v>
      </c>
      <c r="F14" s="10">
        <v>7097503.9803799996</v>
      </c>
      <c r="G14" s="10">
        <v>7097503.9803799996</v>
      </c>
      <c r="H14" s="10">
        <f t="shared" si="3"/>
        <v>9383111.5205900036</v>
      </c>
    </row>
    <row r="15" spans="1:9" x14ac:dyDescent="0.25">
      <c r="A15" s="15"/>
      <c r="B15" s="16" t="s">
        <v>19</v>
      </c>
      <c r="C15" s="8">
        <v>4633063.8025200004</v>
      </c>
      <c r="D15" s="10">
        <v>10597.861539999954</v>
      </c>
      <c r="E15" s="10">
        <f t="shared" si="2"/>
        <v>4643661.6640600003</v>
      </c>
      <c r="F15" s="10">
        <v>3141776.2101900005</v>
      </c>
      <c r="G15" s="10">
        <v>3141776.2101900005</v>
      </c>
      <c r="H15" s="10">
        <f t="shared" si="3"/>
        <v>1501885.4538699999</v>
      </c>
    </row>
    <row r="16" spans="1:9" x14ac:dyDescent="0.25">
      <c r="A16" s="15"/>
      <c r="B16" s="16" t="s">
        <v>20</v>
      </c>
      <c r="C16" s="8">
        <v>6555900.122080001</v>
      </c>
      <c r="D16" s="10">
        <v>18726.215610000014</v>
      </c>
      <c r="E16" s="10">
        <f t="shared" si="2"/>
        <v>6574626.3376900014</v>
      </c>
      <c r="F16" s="10">
        <v>3365957.4431699999</v>
      </c>
      <c r="G16" s="10">
        <v>3365957.4431699999</v>
      </c>
      <c r="H16" s="10">
        <f t="shared" si="3"/>
        <v>3208668.8945200015</v>
      </c>
    </row>
    <row r="17" spans="1:10" x14ac:dyDescent="0.25">
      <c r="A17" s="15"/>
      <c r="B17" s="16" t="s">
        <v>21</v>
      </c>
      <c r="C17" s="8">
        <v>757.71799999999996</v>
      </c>
      <c r="D17" s="10">
        <v>0</v>
      </c>
      <c r="E17" s="10">
        <f t="shared" si="2"/>
        <v>757.71799999999996</v>
      </c>
      <c r="F17" s="10">
        <v>0</v>
      </c>
      <c r="G17" s="10">
        <v>0</v>
      </c>
      <c r="H17" s="10">
        <f t="shared" si="3"/>
        <v>757.71799999999996</v>
      </c>
    </row>
    <row r="18" spans="1:10" x14ac:dyDescent="0.25">
      <c r="A18" s="15"/>
      <c r="B18" s="16" t="s">
        <v>22</v>
      </c>
      <c r="C18" s="10">
        <v>234267.36199999999</v>
      </c>
      <c r="D18" s="10">
        <v>1429.5969199999981</v>
      </c>
      <c r="E18" s="10">
        <f t="shared" si="2"/>
        <v>235696.95892</v>
      </c>
      <c r="F18" s="10">
        <v>67901.919949999996</v>
      </c>
      <c r="G18" s="10">
        <v>67901.919949999996</v>
      </c>
      <c r="H18" s="10">
        <f t="shared" si="3"/>
        <v>167795.03896999999</v>
      </c>
    </row>
    <row r="19" spans="1:10" x14ac:dyDescent="0.25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si="3"/>
        <v>0</v>
      </c>
    </row>
    <row r="20" spans="1:10" x14ac:dyDescent="0.25">
      <c r="A20" s="20" t="s">
        <v>24</v>
      </c>
      <c r="B20" s="21"/>
      <c r="C20" s="10">
        <f>SUM(C21:C29)</f>
        <v>1596280.4720000001</v>
      </c>
      <c r="D20" s="10">
        <f t="shared" ref="D20" si="4">SUM(D21:D29)</f>
        <v>6626.2394400000021</v>
      </c>
      <c r="E20" s="10">
        <f>SUM(E21:E29)</f>
        <v>1602906.71144</v>
      </c>
      <c r="F20" s="10">
        <f>SUM(F21:F29)</f>
        <v>712014.16239000007</v>
      </c>
      <c r="G20" s="10">
        <f>SUM(G21:G29)</f>
        <v>528003.10918000003</v>
      </c>
      <c r="H20" s="10">
        <f>SUM(H21:H29)</f>
        <v>890892.5490499998</v>
      </c>
    </row>
    <row r="21" spans="1:10" x14ac:dyDescent="0.25">
      <c r="A21" s="15"/>
      <c r="B21" s="16" t="s">
        <v>25</v>
      </c>
      <c r="C21" s="10">
        <f>253032.882-12593.6</f>
        <v>240439.28200000001</v>
      </c>
      <c r="D21" s="10">
        <v>9240.5997499999976</v>
      </c>
      <c r="E21" s="10">
        <f t="shared" ref="E21:E29" si="5">+C21+D21</f>
        <v>249679.88175</v>
      </c>
      <c r="F21" s="10">
        <f>89279.20865-12593.6</f>
        <v>76685.608649999995</v>
      </c>
      <c r="G21" s="10">
        <f>80177.65151-12593.6</f>
        <v>67584.05150999999</v>
      </c>
      <c r="H21" s="10">
        <f t="shared" ref="H21:H29" si="6">+E21-F21</f>
        <v>172994.27309999999</v>
      </c>
    </row>
    <row r="22" spans="1:10" x14ac:dyDescent="0.25">
      <c r="A22" s="15"/>
      <c r="B22" s="16" t="s">
        <v>26</v>
      </c>
      <c r="C22" s="10">
        <v>786341.91700000002</v>
      </c>
      <c r="D22" s="10">
        <v>-4934.3409999999994</v>
      </c>
      <c r="E22" s="10">
        <f t="shared" si="5"/>
        <v>781407.576</v>
      </c>
      <c r="F22" s="10">
        <v>457529.43312</v>
      </c>
      <c r="G22" s="10">
        <v>285952.20493000001</v>
      </c>
      <c r="H22" s="10">
        <f t="shared" si="6"/>
        <v>323878.14288</v>
      </c>
    </row>
    <row r="23" spans="1:10" x14ac:dyDescent="0.25">
      <c r="A23" s="15"/>
      <c r="B23" s="16" t="s">
        <v>27</v>
      </c>
      <c r="C23" s="10">
        <v>850.17</v>
      </c>
      <c r="D23" s="10">
        <v>65.384999999999991</v>
      </c>
      <c r="E23" s="10">
        <f t="shared" si="5"/>
        <v>915.55499999999995</v>
      </c>
      <c r="F23" s="10">
        <v>98.981580000000022</v>
      </c>
      <c r="G23" s="10">
        <v>98.821560000000005</v>
      </c>
      <c r="H23" s="10">
        <f t="shared" si="6"/>
        <v>816.57341999999994</v>
      </c>
    </row>
    <row r="24" spans="1:10" x14ac:dyDescent="0.25">
      <c r="A24" s="15"/>
      <c r="B24" s="16" t="s">
        <v>28</v>
      </c>
      <c r="C24" s="10">
        <v>58151.286</v>
      </c>
      <c r="D24" s="10">
        <v>-1826.1360800000002</v>
      </c>
      <c r="E24" s="10">
        <f t="shared" si="5"/>
        <v>56325.149919999996</v>
      </c>
      <c r="F24" s="10">
        <v>17326.298620000005</v>
      </c>
      <c r="G24" s="10">
        <v>16402.547010000002</v>
      </c>
      <c r="H24" s="10">
        <f t="shared" si="6"/>
        <v>38998.851299999995</v>
      </c>
    </row>
    <row r="25" spans="1:10" x14ac:dyDescent="0.25">
      <c r="A25" s="15"/>
      <c r="B25" s="16" t="s">
        <v>29</v>
      </c>
      <c r="C25" s="10">
        <v>26312.001</v>
      </c>
      <c r="D25" s="10">
        <v>-9.8680800000001909</v>
      </c>
      <c r="E25" s="10">
        <f t="shared" si="5"/>
        <v>26302.13292</v>
      </c>
      <c r="F25" s="10">
        <v>3827.6805100000001</v>
      </c>
      <c r="G25" s="10">
        <v>3763.3309800000006</v>
      </c>
      <c r="H25" s="10">
        <f t="shared" si="6"/>
        <v>22474.452409999998</v>
      </c>
    </row>
    <row r="26" spans="1:10" x14ac:dyDescent="0.25">
      <c r="A26" s="15"/>
      <c r="B26" s="16" t="s">
        <v>30</v>
      </c>
      <c r="C26" s="10">
        <f>294790.062-110.9</f>
        <v>294679.16199999995</v>
      </c>
      <c r="D26" s="10">
        <v>4115.6746300000013</v>
      </c>
      <c r="E26" s="10">
        <f t="shared" si="5"/>
        <v>298794.83662999998</v>
      </c>
      <c r="F26" s="10">
        <f>128683.57724-110.9</f>
        <v>128572.67724</v>
      </c>
      <c r="G26" s="10">
        <f>127440.5339-110.9</f>
        <v>127329.6339</v>
      </c>
      <c r="H26" s="10">
        <f t="shared" si="6"/>
        <v>170222.15938999999</v>
      </c>
    </row>
    <row r="27" spans="1:10" x14ac:dyDescent="0.25">
      <c r="A27" s="15"/>
      <c r="B27" s="16" t="s">
        <v>31</v>
      </c>
      <c r="C27" s="10">
        <f>142578.79-25</f>
        <v>142553.79</v>
      </c>
      <c r="D27" s="10">
        <v>-8809.2629199999992</v>
      </c>
      <c r="E27" s="10">
        <f t="shared" si="5"/>
        <v>133744.52708</v>
      </c>
      <c r="F27" s="10">
        <f>7777.79528-25</f>
        <v>7752.7952800000003</v>
      </c>
      <c r="G27" s="10">
        <f>7707.05985-25</f>
        <v>7682.0598499999996</v>
      </c>
      <c r="H27" s="10">
        <f t="shared" si="6"/>
        <v>125991.73179999999</v>
      </c>
    </row>
    <row r="28" spans="1:10" x14ac:dyDescent="0.25">
      <c r="A28" s="15"/>
      <c r="B28" s="16" t="s">
        <v>32</v>
      </c>
      <c r="C28" s="10">
        <v>3048.8069999999998</v>
      </c>
      <c r="D28" s="10">
        <v>-221.17899999999997</v>
      </c>
      <c r="E28" s="10">
        <f t="shared" si="5"/>
        <v>2827.6279999999997</v>
      </c>
      <c r="F28" s="10">
        <v>1.2493800000000002</v>
      </c>
      <c r="G28" s="10">
        <v>1.2493800000000002</v>
      </c>
      <c r="H28" s="10">
        <f t="shared" si="6"/>
        <v>2826.3786199999995</v>
      </c>
    </row>
    <row r="29" spans="1:10" x14ac:dyDescent="0.25">
      <c r="A29" s="15"/>
      <c r="B29" s="16" t="s">
        <v>33</v>
      </c>
      <c r="C29" s="10">
        <v>43904.057000000001</v>
      </c>
      <c r="D29" s="10">
        <v>9005.3671400000021</v>
      </c>
      <c r="E29" s="10">
        <f t="shared" si="5"/>
        <v>52909.424140000003</v>
      </c>
      <c r="F29" s="10">
        <v>20219.438010000002</v>
      </c>
      <c r="G29" s="10">
        <v>19189.210060000001</v>
      </c>
      <c r="H29" s="10">
        <f t="shared" si="6"/>
        <v>32689.986130000001</v>
      </c>
    </row>
    <row r="30" spans="1:10" x14ac:dyDescent="0.25">
      <c r="A30" s="20" t="s">
        <v>34</v>
      </c>
      <c r="B30" s="21"/>
      <c r="C30" s="10">
        <f t="shared" ref="C30:H30" si="7">SUM(C31:C39)</f>
        <v>5152521.1839999994</v>
      </c>
      <c r="D30" s="10">
        <f t="shared" si="7"/>
        <v>-98606.682640000028</v>
      </c>
      <c r="E30" s="10">
        <f t="shared" si="7"/>
        <v>5053914.501360001</v>
      </c>
      <c r="F30" s="10">
        <f t="shared" si="7"/>
        <v>3550800.2968000006</v>
      </c>
      <c r="G30" s="10">
        <f t="shared" si="7"/>
        <v>3229024.7861200003</v>
      </c>
      <c r="H30" s="10">
        <f t="shared" si="7"/>
        <v>1503114.2045599995</v>
      </c>
      <c r="J30" s="14"/>
    </row>
    <row r="31" spans="1:10" x14ac:dyDescent="0.25">
      <c r="A31" s="15"/>
      <c r="B31" s="16" t="s">
        <v>35</v>
      </c>
      <c r="C31" s="10">
        <v>831029.875</v>
      </c>
      <c r="D31" s="10">
        <v>-93535.605559999996</v>
      </c>
      <c r="E31" s="10">
        <f t="shared" ref="E31:E39" si="8">+C31+D31</f>
        <v>737494.26943999995</v>
      </c>
      <c r="F31" s="10">
        <v>172980.71859000003</v>
      </c>
      <c r="G31" s="10">
        <v>159398.88764000003</v>
      </c>
      <c r="H31" s="10">
        <f t="shared" ref="H31:H39" si="9">+E31-F31</f>
        <v>564513.55084999988</v>
      </c>
    </row>
    <row r="32" spans="1:10" x14ac:dyDescent="0.25">
      <c r="A32" s="15"/>
      <c r="B32" s="16" t="s">
        <v>36</v>
      </c>
      <c r="C32" s="10">
        <v>362473.00599999999</v>
      </c>
      <c r="D32" s="10">
        <v>461.13423999999941</v>
      </c>
      <c r="E32" s="10">
        <f t="shared" si="8"/>
        <v>362934.14023999998</v>
      </c>
      <c r="F32" s="10">
        <v>151757.17320000002</v>
      </c>
      <c r="G32" s="10">
        <v>125170.35543000001</v>
      </c>
      <c r="H32" s="10">
        <f t="shared" si="9"/>
        <v>211176.96703999996</v>
      </c>
    </row>
    <row r="33" spans="1:10" x14ac:dyDescent="0.25">
      <c r="A33" s="15"/>
      <c r="B33" s="16" t="s">
        <v>37</v>
      </c>
      <c r="C33" s="10">
        <f>1367737.539-43830.9</f>
        <v>1323906.6390000002</v>
      </c>
      <c r="D33" s="10">
        <v>-197326.75514999998</v>
      </c>
      <c r="E33" s="10">
        <f t="shared" si="8"/>
        <v>1126579.8838500003</v>
      </c>
      <c r="F33" s="10">
        <f>461660.8318-43830.9</f>
        <v>417829.93179999996</v>
      </c>
      <c r="G33" s="10">
        <f>262299.80161-43830.9</f>
        <v>218468.90161000003</v>
      </c>
      <c r="H33" s="10">
        <f t="shared" si="9"/>
        <v>708749.95205000043</v>
      </c>
    </row>
    <row r="34" spans="1:10" x14ac:dyDescent="0.25">
      <c r="A34" s="15"/>
      <c r="B34" s="16" t="s">
        <v>38</v>
      </c>
      <c r="C34" s="10">
        <v>850758.31400000001</v>
      </c>
      <c r="D34" s="10">
        <v>-1344.3176400000011</v>
      </c>
      <c r="E34" s="10">
        <f t="shared" si="8"/>
        <v>849413.99635999999</v>
      </c>
      <c r="F34" s="10">
        <v>129016.01976000002</v>
      </c>
      <c r="G34" s="10">
        <v>84218.671020000009</v>
      </c>
      <c r="H34" s="10">
        <f t="shared" si="9"/>
        <v>720397.97659999994</v>
      </c>
    </row>
    <row r="35" spans="1:10" x14ac:dyDescent="0.25">
      <c r="A35" s="15"/>
      <c r="B35" s="16" t="s">
        <v>39</v>
      </c>
      <c r="C35" s="10">
        <v>502262.89399999997</v>
      </c>
      <c r="D35" s="10">
        <v>27081.224569999991</v>
      </c>
      <c r="E35" s="10">
        <f t="shared" si="8"/>
        <v>529344.11856999993</v>
      </c>
      <c r="F35" s="10">
        <v>289523.65376000007</v>
      </c>
      <c r="G35" s="10">
        <v>281835.97989000002</v>
      </c>
      <c r="H35" s="10">
        <f t="shared" si="9"/>
        <v>239820.46480999986</v>
      </c>
    </row>
    <row r="36" spans="1:10" x14ac:dyDescent="0.25">
      <c r="A36" s="15"/>
      <c r="B36" s="16" t="s">
        <v>40</v>
      </c>
      <c r="C36" s="10">
        <f>175990.408-10</f>
        <v>175980.408</v>
      </c>
      <c r="D36" s="10">
        <v>1814.5030199999983</v>
      </c>
      <c r="E36" s="10">
        <f t="shared" si="8"/>
        <v>177794.91102</v>
      </c>
      <c r="F36" s="10">
        <f>59981.97606-10</f>
        <v>59971.976060000001</v>
      </c>
      <c r="G36" s="10">
        <f>57327.11714-10</f>
        <v>57317.117140000002</v>
      </c>
      <c r="H36" s="10">
        <f t="shared" si="9"/>
        <v>117822.93496</v>
      </c>
    </row>
    <row r="37" spans="1:10" x14ac:dyDescent="0.25">
      <c r="A37" s="15"/>
      <c r="B37" s="16" t="s">
        <v>41</v>
      </c>
      <c r="C37" s="10">
        <f>71838.398-2658.7</f>
        <v>69179.698000000004</v>
      </c>
      <c r="D37" s="10">
        <v>3408.6497899999995</v>
      </c>
      <c r="E37" s="10">
        <f t="shared" si="8"/>
        <v>72588.34779</v>
      </c>
      <c r="F37" s="10">
        <f>15200.95453-2658.7</f>
        <v>12542.254530000002</v>
      </c>
      <c r="G37" s="10">
        <f>13160.90206-2658.7</f>
        <v>10502.20206</v>
      </c>
      <c r="H37" s="10">
        <f t="shared" si="9"/>
        <v>60046.093259999994</v>
      </c>
    </row>
    <row r="38" spans="1:10" x14ac:dyDescent="0.25">
      <c r="A38" s="15"/>
      <c r="B38" s="16" t="s">
        <v>42</v>
      </c>
      <c r="C38" s="10">
        <f>195195.264-22858.4</f>
        <v>172336.864</v>
      </c>
      <c r="D38" s="10">
        <v>143126.40432000003</v>
      </c>
      <c r="E38" s="10">
        <f t="shared" si="8"/>
        <v>315463.26832000003</v>
      </c>
      <c r="F38" s="10">
        <f>119649.99066-22858.4</f>
        <v>96791.590659999987</v>
      </c>
      <c r="G38" s="10">
        <f>97728.23332-22858.4</f>
        <v>74869.833320000005</v>
      </c>
      <c r="H38" s="10">
        <f t="shared" si="9"/>
        <v>218671.67766000004</v>
      </c>
    </row>
    <row r="39" spans="1:10" x14ac:dyDescent="0.25">
      <c r="A39" s="15"/>
      <c r="B39" s="16" t="s">
        <v>43</v>
      </c>
      <c r="C39" s="10">
        <f>865029.286-435.8</f>
        <v>864593.48599999992</v>
      </c>
      <c r="D39" s="10">
        <v>17708.079769999997</v>
      </c>
      <c r="E39" s="10">
        <f t="shared" si="8"/>
        <v>882301.56576999987</v>
      </c>
      <c r="F39" s="10">
        <f>2220822.77844-435.8</f>
        <v>2220386.9784400002</v>
      </c>
      <c r="G39" s="10">
        <f>2217678.63801-435.8</f>
        <v>2217242.8380100001</v>
      </c>
      <c r="H39" s="10">
        <f t="shared" si="9"/>
        <v>-1338085.4126700005</v>
      </c>
    </row>
    <row r="40" spans="1:10" x14ac:dyDescent="0.25">
      <c r="A40" s="20" t="s">
        <v>44</v>
      </c>
      <c r="B40" s="21"/>
      <c r="C40" s="10">
        <f t="shared" ref="C40:H40" si="10">SUM(C41:C49)</f>
        <v>24449665.775999997</v>
      </c>
      <c r="D40" s="10">
        <f t="shared" si="10"/>
        <v>239839.01890000189</v>
      </c>
      <c r="E40" s="10">
        <f t="shared" si="10"/>
        <v>24689504.7949</v>
      </c>
      <c r="F40" s="10">
        <f t="shared" si="10"/>
        <v>21176537.857669998</v>
      </c>
      <c r="G40" s="10">
        <f t="shared" si="10"/>
        <v>21144776.557119999</v>
      </c>
      <c r="H40" s="10">
        <f t="shared" si="10"/>
        <v>3512966.937229997</v>
      </c>
      <c r="J40" s="14"/>
    </row>
    <row r="41" spans="1:10" x14ac:dyDescent="0.25">
      <c r="A41" s="15"/>
      <c r="B41" s="16" t="s">
        <v>45</v>
      </c>
      <c r="C41" s="10">
        <f>10825214.222-6759663.3+12593.6+110.9+25+43830.9+10+2658.7+22858.4+435.8+600+5672567.2+30441.7-2500000</f>
        <v>7351683.1219999976</v>
      </c>
      <c r="D41" s="10">
        <v>0</v>
      </c>
      <c r="E41" s="10">
        <f t="shared" ref="E41:E49" si="11">+C41+D41</f>
        <v>7351683.1219999976</v>
      </c>
      <c r="F41" s="10">
        <f>7004007.45574-973531.1</f>
        <v>6030476.3557400005</v>
      </c>
      <c r="G41" s="10">
        <f>7004007.45574-973531.1</f>
        <v>6030476.3557400005</v>
      </c>
      <c r="H41" s="10">
        <f t="shared" ref="H41:H49" si="12">+E41-F41</f>
        <v>1321206.7662599972</v>
      </c>
    </row>
    <row r="42" spans="1:10" x14ac:dyDescent="0.25">
      <c r="A42" s="15"/>
      <c r="B42" s="16" t="s">
        <v>46</v>
      </c>
      <c r="C42" s="10">
        <v>230.53</v>
      </c>
      <c r="D42" s="10">
        <v>0</v>
      </c>
      <c r="E42" s="10">
        <f t="shared" si="11"/>
        <v>230.53</v>
      </c>
      <c r="F42" s="10">
        <v>105.267</v>
      </c>
      <c r="G42" s="10">
        <v>105.267</v>
      </c>
      <c r="H42" s="10">
        <f t="shared" si="12"/>
        <v>125.26300000000001</v>
      </c>
    </row>
    <row r="43" spans="1:10" x14ac:dyDescent="0.25">
      <c r="A43" s="15"/>
      <c r="B43" s="16" t="s">
        <v>47</v>
      </c>
      <c r="C43" s="10">
        <v>5517263.0769999996</v>
      </c>
      <c r="D43" s="10">
        <v>-40662.684740000012</v>
      </c>
      <c r="E43" s="10">
        <f t="shared" si="11"/>
        <v>5476600.3922599992</v>
      </c>
      <c r="F43" s="10">
        <v>4658590.8441300001</v>
      </c>
      <c r="G43" s="10">
        <v>4658590.8441300001</v>
      </c>
      <c r="H43" s="10">
        <f t="shared" si="12"/>
        <v>818009.54812999908</v>
      </c>
    </row>
    <row r="44" spans="1:10" x14ac:dyDescent="0.25">
      <c r="A44" s="15"/>
      <c r="B44" s="16" t="s">
        <v>48</v>
      </c>
      <c r="C44" s="10">
        <f>2221215.436-600</f>
        <v>2220615.4360000002</v>
      </c>
      <c r="D44" s="10">
        <v>536643.36200000008</v>
      </c>
      <c r="E44" s="10">
        <f t="shared" si="11"/>
        <v>2757258.7980000004</v>
      </c>
      <c r="F44" s="10">
        <f>1712253.69278-600</f>
        <v>1711653.6927799999</v>
      </c>
      <c r="G44" s="10">
        <f>1688577.83116-600</f>
        <v>1687977.8311600001</v>
      </c>
      <c r="H44" s="10">
        <f t="shared" si="12"/>
        <v>1045605.1052200005</v>
      </c>
    </row>
    <row r="45" spans="1:10" x14ac:dyDescent="0.25">
      <c r="A45" s="15"/>
      <c r="B45" s="16" t="s">
        <v>49</v>
      </c>
      <c r="C45" s="10">
        <v>30363.593000000001</v>
      </c>
      <c r="D45" s="10">
        <v>0</v>
      </c>
      <c r="E45" s="10">
        <f t="shared" si="11"/>
        <v>30363.593000000001</v>
      </c>
      <c r="F45" s="10">
        <v>14929.938520000002</v>
      </c>
      <c r="G45" s="10">
        <v>12148.749590000001</v>
      </c>
      <c r="H45" s="10">
        <f t="shared" si="12"/>
        <v>15433.654479999999</v>
      </c>
    </row>
    <row r="46" spans="1:10" x14ac:dyDescent="0.25">
      <c r="A46" s="15"/>
      <c r="B46" s="16" t="s">
        <v>50</v>
      </c>
      <c r="C46" s="10">
        <f>67918803.969-67945131.8+6759663.3+2500000</f>
        <v>9233335.4690000005</v>
      </c>
      <c r="D46" s="10">
        <v>-369392.98483999819</v>
      </c>
      <c r="E46" s="10">
        <f t="shared" si="11"/>
        <v>8863942.4841600023</v>
      </c>
      <c r="F46" s="10">
        <f>32175624.17178-25670832.7+676962.4+1433667.1</f>
        <v>8615420.9717800021</v>
      </c>
      <c r="G46" s="10">
        <f>32175624.17178-25670832.7+676962.4+1433667.1</f>
        <v>8615420.9717800021</v>
      </c>
      <c r="H46" s="10">
        <f t="shared" si="12"/>
        <v>248521.5123800002</v>
      </c>
    </row>
    <row r="47" spans="1:10" x14ac:dyDescent="0.25">
      <c r="A47" s="15"/>
      <c r="B47" s="16" t="s">
        <v>51</v>
      </c>
      <c r="C47" s="19">
        <v>0</v>
      </c>
      <c r="D47" s="19">
        <v>0</v>
      </c>
      <c r="E47" s="10">
        <f t="shared" si="11"/>
        <v>0</v>
      </c>
      <c r="F47" s="19">
        <v>0</v>
      </c>
      <c r="G47" s="19">
        <v>0</v>
      </c>
      <c r="H47" s="10">
        <f t="shared" si="12"/>
        <v>0</v>
      </c>
    </row>
    <row r="48" spans="1:10" x14ac:dyDescent="0.25">
      <c r="A48" s="15"/>
      <c r="B48" s="16" t="s">
        <v>52</v>
      </c>
      <c r="C48" s="10">
        <v>96174.548999999999</v>
      </c>
      <c r="D48" s="10">
        <v>113251.32648</v>
      </c>
      <c r="E48" s="10">
        <f t="shared" si="11"/>
        <v>209425.87547999999</v>
      </c>
      <c r="F48" s="10">
        <v>145360.78771999999</v>
      </c>
      <c r="G48" s="10">
        <v>140056.53771999999</v>
      </c>
      <c r="H48" s="10">
        <f t="shared" si="12"/>
        <v>64065.087759999995</v>
      </c>
    </row>
    <row r="49" spans="1:10" x14ac:dyDescent="0.25">
      <c r="A49" s="15"/>
      <c r="B49" s="16" t="s">
        <v>53</v>
      </c>
      <c r="C49" s="19">
        <v>0</v>
      </c>
      <c r="D49" s="19">
        <v>0</v>
      </c>
      <c r="E49" s="10">
        <f t="shared" si="11"/>
        <v>0</v>
      </c>
      <c r="F49" s="19">
        <v>0</v>
      </c>
      <c r="G49" s="19">
        <v>0</v>
      </c>
      <c r="H49" s="10">
        <f t="shared" si="12"/>
        <v>0</v>
      </c>
    </row>
    <row r="50" spans="1:10" x14ac:dyDescent="0.25">
      <c r="A50" s="20" t="s">
        <v>54</v>
      </c>
      <c r="B50" s="21"/>
      <c r="C50" s="10">
        <f t="shared" ref="C50:H50" si="13">SUM(C51:C59)</f>
        <v>71052.747000000003</v>
      </c>
      <c r="D50" s="10">
        <f t="shared" si="13"/>
        <v>240275.99165000001</v>
      </c>
      <c r="E50" s="10">
        <f t="shared" si="13"/>
        <v>311328.73865000001</v>
      </c>
      <c r="F50" s="10">
        <f t="shared" si="13"/>
        <v>18022.000820000001</v>
      </c>
      <c r="G50" s="10">
        <f t="shared" si="13"/>
        <v>16505.16995</v>
      </c>
      <c r="H50" s="10">
        <f t="shared" si="13"/>
        <v>293306.73783</v>
      </c>
    </row>
    <row r="51" spans="1:10" x14ac:dyDescent="0.25">
      <c r="A51" s="15"/>
      <c r="B51" s="16" t="s">
        <v>55</v>
      </c>
      <c r="C51" s="10">
        <f>101481.523-30079.1-341.6-21</f>
        <v>71039.823000000004</v>
      </c>
      <c r="D51" s="10">
        <v>188742.23261000001</v>
      </c>
      <c r="E51" s="10">
        <f t="shared" ref="E51:E59" si="14">+C51+D51</f>
        <v>259782.05561000001</v>
      </c>
      <c r="F51" s="10">
        <v>4434.4484400000001</v>
      </c>
      <c r="G51" s="10">
        <v>3854.7175600000005</v>
      </c>
      <c r="H51" s="10">
        <f t="shared" ref="H51:H59" si="15">+E51-F51</f>
        <v>255347.60717</v>
      </c>
    </row>
    <row r="52" spans="1:10" x14ac:dyDescent="0.25">
      <c r="A52" s="15"/>
      <c r="B52" s="16" t="s">
        <v>56</v>
      </c>
      <c r="C52" s="10">
        <v>0</v>
      </c>
      <c r="D52" s="10">
        <v>276</v>
      </c>
      <c r="E52" s="10">
        <f t="shared" si="14"/>
        <v>276</v>
      </c>
      <c r="F52" s="10">
        <v>99.952390000000008</v>
      </c>
      <c r="G52" s="10">
        <v>99.952390000000008</v>
      </c>
      <c r="H52" s="10">
        <f t="shared" si="15"/>
        <v>176.04760999999999</v>
      </c>
    </row>
    <row r="53" spans="1:10" x14ac:dyDescent="0.25">
      <c r="A53" s="15"/>
      <c r="B53" s="16" t="s">
        <v>57</v>
      </c>
      <c r="C53" s="19">
        <v>0</v>
      </c>
      <c r="D53" s="19">
        <v>0</v>
      </c>
      <c r="E53" s="10">
        <f t="shared" si="14"/>
        <v>0</v>
      </c>
      <c r="F53" s="19">
        <v>0</v>
      </c>
      <c r="G53" s="19">
        <v>0</v>
      </c>
      <c r="H53" s="10">
        <f t="shared" si="15"/>
        <v>0</v>
      </c>
    </row>
    <row r="54" spans="1:10" x14ac:dyDescent="0.25">
      <c r="A54" s="15"/>
      <c r="B54" s="16" t="s">
        <v>58</v>
      </c>
      <c r="C54" s="10">
        <v>12.923999999999999</v>
      </c>
      <c r="D54" s="10">
        <v>6987.0620400000007</v>
      </c>
      <c r="E54" s="10">
        <f t="shared" si="14"/>
        <v>6999.9860400000007</v>
      </c>
      <c r="F54" s="10">
        <v>1497.0999900000002</v>
      </c>
      <c r="G54" s="10">
        <v>560</v>
      </c>
      <c r="H54" s="10">
        <f t="shared" si="15"/>
        <v>5502.886050000001</v>
      </c>
    </row>
    <row r="55" spans="1:10" x14ac:dyDescent="0.25">
      <c r="A55" s="15"/>
      <c r="B55" s="16" t="s">
        <v>59</v>
      </c>
      <c r="C55" s="10">
        <v>0</v>
      </c>
      <c r="D55" s="19">
        <v>0</v>
      </c>
      <c r="E55" s="10">
        <f t="shared" si="14"/>
        <v>0</v>
      </c>
      <c r="F55" s="10">
        <v>0</v>
      </c>
      <c r="G55" s="10">
        <v>0</v>
      </c>
      <c r="H55" s="10">
        <f t="shared" si="15"/>
        <v>0</v>
      </c>
    </row>
    <row r="56" spans="1:10" x14ac:dyDescent="0.25">
      <c r="A56" s="15"/>
      <c r="B56" s="16" t="s">
        <v>60</v>
      </c>
      <c r="C56" s="10">
        <v>0</v>
      </c>
      <c r="D56" s="10">
        <v>1639</v>
      </c>
      <c r="E56" s="10">
        <f t="shared" si="14"/>
        <v>1639</v>
      </c>
      <c r="F56" s="19">
        <v>0</v>
      </c>
      <c r="G56" s="19">
        <v>0</v>
      </c>
      <c r="H56" s="10">
        <f t="shared" si="15"/>
        <v>1639</v>
      </c>
    </row>
    <row r="57" spans="1:10" x14ac:dyDescent="0.25">
      <c r="A57" s="15"/>
      <c r="B57" s="16" t="s">
        <v>61</v>
      </c>
      <c r="C57" s="10">
        <v>0</v>
      </c>
      <c r="D57" s="19">
        <v>0</v>
      </c>
      <c r="E57" s="10">
        <f t="shared" si="14"/>
        <v>0</v>
      </c>
      <c r="F57" s="19">
        <v>0</v>
      </c>
      <c r="G57" s="19">
        <v>0</v>
      </c>
      <c r="H57" s="10">
        <f t="shared" si="15"/>
        <v>0</v>
      </c>
    </row>
    <row r="58" spans="1:10" x14ac:dyDescent="0.25">
      <c r="A58" s="15"/>
      <c r="B58" s="16" t="s">
        <v>62</v>
      </c>
      <c r="C58" s="19">
        <v>0</v>
      </c>
      <c r="D58" s="10">
        <v>42432.2</v>
      </c>
      <c r="E58" s="10">
        <f t="shared" si="14"/>
        <v>42432.2</v>
      </c>
      <c r="F58" s="10">
        <f>42432.2-30079.1-341.6-21</f>
        <v>11990.499999999998</v>
      </c>
      <c r="G58" s="10">
        <f>42432.2-30079.1-341.6-21</f>
        <v>11990.499999999998</v>
      </c>
      <c r="H58" s="10">
        <f t="shared" si="15"/>
        <v>30441.699999999997</v>
      </c>
    </row>
    <row r="59" spans="1:10" x14ac:dyDescent="0.25">
      <c r="A59" s="15"/>
      <c r="B59" s="16" t="s">
        <v>63</v>
      </c>
      <c r="C59" s="19">
        <v>0</v>
      </c>
      <c r="D59" s="10">
        <v>199.49700000000001</v>
      </c>
      <c r="E59" s="10">
        <f t="shared" si="14"/>
        <v>199.49700000000001</v>
      </c>
      <c r="F59" s="10">
        <v>0</v>
      </c>
      <c r="G59" s="10">
        <v>0</v>
      </c>
      <c r="H59" s="10">
        <f t="shared" si="15"/>
        <v>199.49700000000001</v>
      </c>
    </row>
    <row r="60" spans="1:10" x14ac:dyDescent="0.25">
      <c r="A60" s="20" t="s">
        <v>64</v>
      </c>
      <c r="B60" s="21"/>
      <c r="C60" s="10">
        <f t="shared" ref="C60:H60" si="16">SUM(C61:C63)</f>
        <v>24697235.008999996</v>
      </c>
      <c r="D60" s="10">
        <f t="shared" si="16"/>
        <v>0</v>
      </c>
      <c r="E60" s="10">
        <f t="shared" si="16"/>
        <v>24697235.008999996</v>
      </c>
      <c r="F60" s="10">
        <f t="shared" si="16"/>
        <v>20374233.39923</v>
      </c>
      <c r="G60" s="10">
        <f t="shared" si="16"/>
        <v>18532353.2678</v>
      </c>
      <c r="H60" s="10">
        <f t="shared" si="16"/>
        <v>4323001.6097699981</v>
      </c>
      <c r="J60" s="14"/>
    </row>
    <row r="61" spans="1:10" x14ac:dyDescent="0.25">
      <c r="A61" s="15"/>
      <c r="B61" s="16" t="s">
        <v>65</v>
      </c>
      <c r="C61" s="10">
        <f>24137295.981-3170838.5+111545.4</f>
        <v>21078002.880999997</v>
      </c>
      <c r="D61" s="10">
        <v>0</v>
      </c>
      <c r="E61" s="10">
        <f t="shared" ref="E61:E63" si="17">+C61+D61</f>
        <v>21078002.880999997</v>
      </c>
      <c r="F61" s="10">
        <f>18275406.69469-1017213.1+553399.5</f>
        <v>17811593.094689999</v>
      </c>
      <c r="G61" s="10">
        <f>16713632.1832-1017213.1+553399.5</f>
        <v>16249818.5832</v>
      </c>
      <c r="H61" s="10">
        <f t="shared" ref="H61:H63" si="18">+E61-F61</f>
        <v>3266409.7863099985</v>
      </c>
    </row>
    <row r="62" spans="1:10" x14ac:dyDescent="0.25">
      <c r="A62" s="15"/>
      <c r="B62" s="16" t="s">
        <v>66</v>
      </c>
      <c r="C62" s="10">
        <f>859941.746-101500</f>
        <v>758441.74600000004</v>
      </c>
      <c r="D62" s="10">
        <v>0</v>
      </c>
      <c r="E62" s="10">
        <f t="shared" si="17"/>
        <v>758441.74600000004</v>
      </c>
      <c r="F62" s="10">
        <f>353269.79623-101500</f>
        <v>251769.79622999998</v>
      </c>
      <c r="G62" s="10">
        <f>292995.05158-101500</f>
        <v>191495.05158000003</v>
      </c>
      <c r="H62" s="10">
        <f t="shared" si="18"/>
        <v>506671.94977000006</v>
      </c>
    </row>
    <row r="63" spans="1:10" x14ac:dyDescent="0.25">
      <c r="A63" s="15"/>
      <c r="B63" s="16" t="s">
        <v>67</v>
      </c>
      <c r="C63" s="10">
        <f>2870835.782-10045.4</f>
        <v>2860790.3820000002</v>
      </c>
      <c r="D63" s="10">
        <v>0</v>
      </c>
      <c r="E63" s="10">
        <f t="shared" si="17"/>
        <v>2860790.3820000002</v>
      </c>
      <c r="F63" s="10">
        <f>2320915.90831-10045.4</f>
        <v>2310870.5083099999</v>
      </c>
      <c r="G63" s="10">
        <f>2101085.03302-10045.4</f>
        <v>2091039.6330200001</v>
      </c>
      <c r="H63" s="10">
        <f t="shared" si="18"/>
        <v>549919.87369000027</v>
      </c>
    </row>
    <row r="64" spans="1:10" x14ac:dyDescent="0.25">
      <c r="A64" s="20" t="s">
        <v>68</v>
      </c>
      <c r="B64" s="21"/>
      <c r="C64" s="10">
        <f t="shared" ref="C64:H64" si="19">SUM(C65:C72)</f>
        <v>1434450.642</v>
      </c>
      <c r="D64" s="10">
        <f t="shared" si="19"/>
        <v>0</v>
      </c>
      <c r="E64" s="10">
        <f t="shared" si="19"/>
        <v>1434450.642</v>
      </c>
      <c r="F64" s="10">
        <f t="shared" si="19"/>
        <v>3497640.3301700004</v>
      </c>
      <c r="G64" s="10">
        <f t="shared" si="19"/>
        <v>3497640.3301700004</v>
      </c>
      <c r="H64" s="10">
        <f t="shared" si="19"/>
        <v>-2063189.6881700004</v>
      </c>
    </row>
    <row r="65" spans="1:10" x14ac:dyDescent="0.25">
      <c r="A65" s="15"/>
      <c r="B65" s="16" t="s">
        <v>69</v>
      </c>
      <c r="C65" s="19">
        <v>0</v>
      </c>
      <c r="D65" s="10">
        <v>0</v>
      </c>
      <c r="E65" s="10">
        <f t="shared" ref="E65:E72" si="20">+C65+D65</f>
        <v>0</v>
      </c>
      <c r="F65" s="19">
        <v>0</v>
      </c>
      <c r="G65" s="19">
        <v>0</v>
      </c>
      <c r="H65" s="10">
        <f t="shared" ref="H65:H72" si="21">+E65-F65</f>
        <v>0</v>
      </c>
    </row>
    <row r="66" spans="1:10" x14ac:dyDescent="0.25">
      <c r="A66" s="15"/>
      <c r="B66" s="16" t="s">
        <v>70</v>
      </c>
      <c r="C66" s="19">
        <v>0</v>
      </c>
      <c r="D66" s="10">
        <v>0</v>
      </c>
      <c r="E66" s="10">
        <f t="shared" si="20"/>
        <v>0</v>
      </c>
      <c r="F66" s="19">
        <v>0</v>
      </c>
      <c r="G66" s="19">
        <v>0</v>
      </c>
      <c r="H66" s="10">
        <f t="shared" si="21"/>
        <v>0</v>
      </c>
    </row>
    <row r="67" spans="1:10" x14ac:dyDescent="0.25">
      <c r="A67" s="15"/>
      <c r="B67" s="16" t="s">
        <v>71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0" x14ac:dyDescent="0.25">
      <c r="A68" s="15"/>
      <c r="B68" s="16" t="s">
        <v>72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0" x14ac:dyDescent="0.25">
      <c r="A69" s="15"/>
      <c r="B69" s="16" t="s">
        <v>73</v>
      </c>
      <c r="C69" s="10">
        <v>1434450.642</v>
      </c>
      <c r="D69" s="10">
        <v>0</v>
      </c>
      <c r="E69" s="10">
        <f t="shared" si="20"/>
        <v>1434450.642</v>
      </c>
      <c r="F69" s="10">
        <v>3497640.3301700004</v>
      </c>
      <c r="G69" s="10">
        <v>3497640.3301700004</v>
      </c>
      <c r="H69" s="10">
        <f t="shared" si="21"/>
        <v>-2063189.6881700004</v>
      </c>
    </row>
    <row r="70" spans="1:10" x14ac:dyDescent="0.25">
      <c r="A70" s="15"/>
      <c r="B70" s="16" t="s">
        <v>74</v>
      </c>
      <c r="C70" s="19">
        <v>0</v>
      </c>
      <c r="D70" s="10">
        <v>0</v>
      </c>
      <c r="E70" s="10">
        <f t="shared" si="20"/>
        <v>0</v>
      </c>
      <c r="F70" s="19">
        <v>0</v>
      </c>
      <c r="G70" s="19">
        <v>0</v>
      </c>
      <c r="H70" s="10">
        <f t="shared" si="21"/>
        <v>0</v>
      </c>
    </row>
    <row r="71" spans="1:10" x14ac:dyDescent="0.25">
      <c r="A71" s="15"/>
      <c r="B71" s="16" t="s">
        <v>75</v>
      </c>
      <c r="C71" s="19">
        <v>0</v>
      </c>
      <c r="D71" s="10">
        <v>0</v>
      </c>
      <c r="E71" s="10">
        <f t="shared" si="20"/>
        <v>0</v>
      </c>
      <c r="F71" s="19">
        <v>0</v>
      </c>
      <c r="G71" s="19">
        <v>0</v>
      </c>
      <c r="H71" s="10">
        <f t="shared" si="21"/>
        <v>0</v>
      </c>
    </row>
    <row r="72" spans="1:10" x14ac:dyDescent="0.25">
      <c r="A72" s="15"/>
      <c r="B72" s="16" t="s">
        <v>76</v>
      </c>
      <c r="C72" s="19">
        <v>0</v>
      </c>
      <c r="D72" s="10">
        <v>0</v>
      </c>
      <c r="E72" s="10">
        <f t="shared" si="20"/>
        <v>0</v>
      </c>
      <c r="F72" s="19">
        <v>0</v>
      </c>
      <c r="G72" s="19">
        <v>0</v>
      </c>
      <c r="H72" s="10">
        <f t="shared" si="21"/>
        <v>0</v>
      </c>
    </row>
    <row r="73" spans="1:10" x14ac:dyDescent="0.25">
      <c r="A73" s="20" t="s">
        <v>77</v>
      </c>
      <c r="B73" s="21"/>
      <c r="C73" s="10">
        <f t="shared" ref="C73:H73" si="22">SUM(C74:C76)</f>
        <v>22913606.708999999</v>
      </c>
      <c r="D73" s="10">
        <f t="shared" si="22"/>
        <v>0</v>
      </c>
      <c r="E73" s="10">
        <f t="shared" si="22"/>
        <v>22913606.708999999</v>
      </c>
      <c r="F73" s="10">
        <f t="shared" si="22"/>
        <v>12362055.679660002</v>
      </c>
      <c r="G73" s="10">
        <f t="shared" si="22"/>
        <v>12358653.657600001</v>
      </c>
      <c r="H73" s="10">
        <f t="shared" si="22"/>
        <v>10551551.029339997</v>
      </c>
      <c r="J73" s="14"/>
    </row>
    <row r="74" spans="1:10" x14ac:dyDescent="0.25">
      <c r="A74" s="15"/>
      <c r="B74" s="16" t="s">
        <v>78</v>
      </c>
      <c r="C74" s="10">
        <f>22457020.463-4490667.8+4490667.8</f>
        <v>22457020.463</v>
      </c>
      <c r="D74" s="10">
        <v>0</v>
      </c>
      <c r="E74" s="10">
        <f t="shared" ref="E74:E76" si="23">+C74+D74</f>
        <v>22457020.463</v>
      </c>
      <c r="F74" s="10">
        <v>12360200.748610001</v>
      </c>
      <c r="G74" s="10">
        <f>12360200.74861-1547.1</f>
        <v>12358653.64861</v>
      </c>
      <c r="H74" s="10">
        <f t="shared" ref="H74:H76" si="24">+E74-F74</f>
        <v>10096819.714389998</v>
      </c>
    </row>
    <row r="75" spans="1:10" x14ac:dyDescent="0.25">
      <c r="A75" s="15"/>
      <c r="B75" s="16" t="s">
        <v>79</v>
      </c>
      <c r="C75" s="10">
        <f>13485089.346-13490667.8+4490667.8-4028503.1</f>
        <v>456586.24599999981</v>
      </c>
      <c r="D75" s="10">
        <v>0</v>
      </c>
      <c r="E75" s="10">
        <f t="shared" si="23"/>
        <v>456586.24599999981</v>
      </c>
      <c r="F75" s="10">
        <f>7142736.55735-7142736.6</f>
        <v>-4.2649999260902405E-2</v>
      </c>
      <c r="G75" s="10">
        <f>7139334.43529-7142736.5+3402.1</f>
        <v>3.5290000401346333E-2</v>
      </c>
      <c r="H75" s="10">
        <f t="shared" si="24"/>
        <v>456586.28864999907</v>
      </c>
    </row>
    <row r="76" spans="1:10" x14ac:dyDescent="0.25">
      <c r="A76" s="15"/>
      <c r="B76" s="16" t="s">
        <v>80</v>
      </c>
      <c r="C76" s="10">
        <v>0</v>
      </c>
      <c r="D76" s="10">
        <v>0</v>
      </c>
      <c r="E76" s="10">
        <f t="shared" si="23"/>
        <v>0</v>
      </c>
      <c r="F76" s="10">
        <f>464019.6737-462164.7</f>
        <v>1854.9736999999732</v>
      </c>
      <c r="G76" s="10">
        <f>464019.6737-3402.1-462164.7+1547.1</f>
        <v>-2.6300000003629975E-2</v>
      </c>
      <c r="H76" s="10">
        <f t="shared" si="24"/>
        <v>-1854.9736999999732</v>
      </c>
    </row>
    <row r="77" spans="1:10" x14ac:dyDescent="0.25">
      <c r="A77" s="20" t="s">
        <v>81</v>
      </c>
      <c r="B77" s="21"/>
      <c r="C77" s="10">
        <f t="shared" ref="C77:H77" si="25">SUM(C78:C84)</f>
        <v>4327390.4000000004</v>
      </c>
      <c r="D77" s="10">
        <f t="shared" si="25"/>
        <v>0</v>
      </c>
      <c r="E77" s="10">
        <f t="shared" si="25"/>
        <v>4327390.4000000004</v>
      </c>
      <c r="F77" s="10">
        <f t="shared" si="25"/>
        <v>2512889.43359</v>
      </c>
      <c r="G77" s="10">
        <f t="shared" si="25"/>
        <v>2512889.43359</v>
      </c>
      <c r="H77" s="10">
        <f t="shared" si="25"/>
        <v>1814500.9664100001</v>
      </c>
    </row>
    <row r="78" spans="1:10" x14ac:dyDescent="0.25">
      <c r="A78" s="15"/>
      <c r="B78" s="16" t="s">
        <v>82</v>
      </c>
      <c r="C78" s="10">
        <v>1756183.6</v>
      </c>
      <c r="D78" s="10">
        <v>0</v>
      </c>
      <c r="E78" s="10">
        <f t="shared" ref="E78:E84" si="26">+C78+D78</f>
        <v>1756183.6</v>
      </c>
      <c r="F78" s="10">
        <f>489050.33461-446747.9</f>
        <v>42302.434609999997</v>
      </c>
      <c r="G78" s="10">
        <f>489050.33461-446747.9</f>
        <v>42302.434609999997</v>
      </c>
      <c r="H78" s="10">
        <f t="shared" ref="H78:H84" si="27">+E78-F78</f>
        <v>1713881.1653900002</v>
      </c>
    </row>
    <row r="79" spans="1:10" x14ac:dyDescent="0.25">
      <c r="A79" s="15"/>
      <c r="B79" s="16" t="s">
        <v>83</v>
      </c>
      <c r="C79" s="10">
        <v>110506.8</v>
      </c>
      <c r="D79" s="10">
        <v>0</v>
      </c>
      <c r="E79" s="10">
        <f t="shared" si="26"/>
        <v>110506.8</v>
      </c>
      <c r="F79" s="10">
        <f>1431906.12125-1423883.4</f>
        <v>8022.721250000177</v>
      </c>
      <c r="G79" s="10">
        <f>1431906.12125-1423883.4</f>
        <v>8022.721250000177</v>
      </c>
      <c r="H79" s="10">
        <f t="shared" si="27"/>
        <v>102484.07874999983</v>
      </c>
    </row>
    <row r="80" spans="1:10" x14ac:dyDescent="0.25">
      <c r="A80" s="15"/>
      <c r="B80" s="16" t="s">
        <v>84</v>
      </c>
      <c r="C80" s="10">
        <v>0</v>
      </c>
      <c r="D80" s="10">
        <v>0</v>
      </c>
      <c r="E80" s="10">
        <f t="shared" si="26"/>
        <v>0</v>
      </c>
      <c r="F80" s="10">
        <v>8418.6313900000005</v>
      </c>
      <c r="G80" s="10">
        <v>8418.6313900000005</v>
      </c>
      <c r="H80" s="10">
        <f t="shared" si="27"/>
        <v>-8418.6313900000005</v>
      </c>
    </row>
    <row r="81" spans="1:8" x14ac:dyDescent="0.25">
      <c r="A81" s="15"/>
      <c r="B81" s="16" t="s">
        <v>85</v>
      </c>
      <c r="C81" s="10">
        <v>0</v>
      </c>
      <c r="D81" s="10">
        <v>0</v>
      </c>
      <c r="E81" s="10">
        <f t="shared" si="26"/>
        <v>0</v>
      </c>
      <c r="F81" s="10">
        <v>6641.4420400000008</v>
      </c>
      <c r="G81" s="10">
        <v>6641.4420400000008</v>
      </c>
      <c r="H81" s="10">
        <f t="shared" si="27"/>
        <v>-6641.4420400000008</v>
      </c>
    </row>
    <row r="82" spans="1:8" x14ac:dyDescent="0.25">
      <c r="A82" s="15"/>
      <c r="B82" s="16" t="s">
        <v>86</v>
      </c>
      <c r="C82" s="10">
        <v>0</v>
      </c>
      <c r="D82" s="10">
        <v>0</v>
      </c>
      <c r="E82" s="10">
        <f t="shared" si="26"/>
        <v>0</v>
      </c>
      <c r="F82" s="10">
        <f>177375.19288-176576.6</f>
        <v>798.59287999998196</v>
      </c>
      <c r="G82" s="10">
        <f>177375.19288-176576.6</f>
        <v>798.59287999998196</v>
      </c>
      <c r="H82" s="10">
        <f t="shared" si="27"/>
        <v>-798.59287999998196</v>
      </c>
    </row>
    <row r="83" spans="1:8" x14ac:dyDescent="0.25">
      <c r="A83" s="15"/>
      <c r="B83" s="16" t="s">
        <v>87</v>
      </c>
      <c r="C83" s="19">
        <v>0</v>
      </c>
      <c r="D83" s="10">
        <v>0</v>
      </c>
      <c r="E83" s="10">
        <f t="shared" si="26"/>
        <v>0</v>
      </c>
      <c r="F83" s="19">
        <v>0</v>
      </c>
      <c r="G83" s="19">
        <v>0</v>
      </c>
      <c r="H83" s="10">
        <f t="shared" si="27"/>
        <v>0</v>
      </c>
    </row>
    <row r="84" spans="1:8" x14ac:dyDescent="0.25">
      <c r="A84" s="15"/>
      <c r="B84" s="16" t="s">
        <v>88</v>
      </c>
      <c r="C84" s="10">
        <v>2460700</v>
      </c>
      <c r="D84" s="10">
        <v>0</v>
      </c>
      <c r="E84" s="10">
        <f t="shared" si="26"/>
        <v>2460700</v>
      </c>
      <c r="F84" s="10">
        <v>2446705.61142</v>
      </c>
      <c r="G84" s="10">
        <v>2446705.61142</v>
      </c>
      <c r="H84" s="10">
        <f t="shared" si="27"/>
        <v>13994.388580000028</v>
      </c>
    </row>
    <row r="85" spans="1:8" x14ac:dyDescent="0.25">
      <c r="A85" s="2"/>
      <c r="B85" s="3"/>
      <c r="C85" s="11"/>
      <c r="D85" s="11"/>
      <c r="E85" s="11"/>
      <c r="F85" s="11"/>
      <c r="G85" s="11"/>
      <c r="H85" s="11"/>
    </row>
    <row r="86" spans="1:8" x14ac:dyDescent="0.25">
      <c r="A86" s="5"/>
      <c r="B86" s="5"/>
      <c r="C86" s="8"/>
      <c r="D86" s="8"/>
      <c r="E86" s="8"/>
      <c r="F86" s="8"/>
      <c r="G86" s="8"/>
      <c r="H86" s="8"/>
    </row>
    <row r="87" spans="1:8" x14ac:dyDescent="0.25">
      <c r="A87" s="6"/>
      <c r="B87" s="7"/>
      <c r="C87" s="9"/>
      <c r="D87" s="9"/>
      <c r="E87" s="9"/>
      <c r="F87" s="9"/>
      <c r="G87" s="9"/>
      <c r="H87" s="9"/>
    </row>
    <row r="88" spans="1:8" x14ac:dyDescent="0.25">
      <c r="A88" s="36" t="s">
        <v>89</v>
      </c>
      <c r="B88" s="37"/>
      <c r="C88" s="12">
        <f>+C89+C97+C107+C117+C127+C137+C141+C150+C154</f>
        <v>90988993.799999982</v>
      </c>
      <c r="D88" s="12">
        <f t="shared" ref="D88:H88" si="28">+D89+D97+D107+D117+D127+D137+D141+D150+D154</f>
        <v>0</v>
      </c>
      <c r="E88" s="12">
        <f t="shared" si="28"/>
        <v>90988993.799999982</v>
      </c>
      <c r="F88" s="12">
        <f t="shared" si="28"/>
        <v>39582150.799999997</v>
      </c>
      <c r="G88" s="12">
        <f>+G89+G97+G107+G117+G127+G137+G141+G150+G154</f>
        <v>39582150.799999997</v>
      </c>
      <c r="H88" s="12">
        <f t="shared" si="28"/>
        <v>51406843</v>
      </c>
    </row>
    <row r="89" spans="1:8" x14ac:dyDescent="0.25">
      <c r="A89" s="20" t="s">
        <v>15</v>
      </c>
      <c r="B89" s="21"/>
      <c r="C89" s="10">
        <f>SUM(C90:C96)</f>
        <v>7071778</v>
      </c>
      <c r="D89" s="10">
        <f t="shared" ref="D89:H89" si="29">SUM(D90:D96)</f>
        <v>0</v>
      </c>
      <c r="E89" s="10">
        <f t="shared" si="29"/>
        <v>7071778</v>
      </c>
      <c r="F89" s="10">
        <f t="shared" si="29"/>
        <v>4707383.4000000004</v>
      </c>
      <c r="G89" s="10">
        <f t="shared" si="29"/>
        <v>4707383.4000000004</v>
      </c>
      <c r="H89" s="10">
        <f t="shared" si="29"/>
        <v>2364394.5999999996</v>
      </c>
    </row>
    <row r="90" spans="1:8" x14ac:dyDescent="0.25">
      <c r="A90" s="15"/>
      <c r="B90" s="16" t="s">
        <v>16</v>
      </c>
      <c r="C90" s="10">
        <v>7071778</v>
      </c>
      <c r="D90" s="10">
        <v>0</v>
      </c>
      <c r="E90" s="10">
        <f>+C90+D90</f>
        <v>7071778</v>
      </c>
      <c r="F90" s="10">
        <f>2729233.2+1301187.8+676962.4</f>
        <v>4707383.4000000004</v>
      </c>
      <c r="G90" s="10">
        <v>4707383.4000000004</v>
      </c>
      <c r="H90" s="10">
        <f>+E90-F90</f>
        <v>2364394.5999999996</v>
      </c>
    </row>
    <row r="91" spans="1:8" x14ac:dyDescent="0.25">
      <c r="A91" s="15"/>
      <c r="B91" s="16" t="s">
        <v>17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f t="shared" ref="H91:H154" si="30">+E91-F91</f>
        <v>0</v>
      </c>
    </row>
    <row r="92" spans="1:8" x14ac:dyDescent="0.25">
      <c r="A92" s="15"/>
      <c r="B92" s="16" t="s">
        <v>18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 t="shared" si="30"/>
        <v>0</v>
      </c>
    </row>
    <row r="93" spans="1:8" x14ac:dyDescent="0.25">
      <c r="A93" s="15"/>
      <c r="B93" s="16" t="s">
        <v>19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f t="shared" si="30"/>
        <v>0</v>
      </c>
    </row>
    <row r="94" spans="1:8" x14ac:dyDescent="0.25">
      <c r="A94" s="15"/>
      <c r="B94" s="16" t="s">
        <v>20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f t="shared" si="30"/>
        <v>0</v>
      </c>
    </row>
    <row r="95" spans="1:8" x14ac:dyDescent="0.25">
      <c r="A95" s="15"/>
      <c r="B95" s="16" t="s">
        <v>21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f t="shared" si="30"/>
        <v>0</v>
      </c>
    </row>
    <row r="96" spans="1:8" x14ac:dyDescent="0.25">
      <c r="A96" s="15"/>
      <c r="B96" s="16" t="s">
        <v>22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30"/>
        <v>0</v>
      </c>
    </row>
    <row r="97" spans="1:8" x14ac:dyDescent="0.25">
      <c r="A97" s="20" t="s">
        <v>24</v>
      </c>
      <c r="B97" s="21"/>
      <c r="C97" s="10">
        <f>SUM(C98:C106)</f>
        <v>12729.5</v>
      </c>
      <c r="D97" s="10">
        <f t="shared" ref="D97:G97" si="31">SUM(D98:D106)</f>
        <v>0</v>
      </c>
      <c r="E97" s="10">
        <f t="shared" si="31"/>
        <v>12729.5</v>
      </c>
      <c r="F97" s="10">
        <f t="shared" si="31"/>
        <v>12729.5</v>
      </c>
      <c r="G97" s="10">
        <f t="shared" si="31"/>
        <v>12729.5</v>
      </c>
      <c r="H97" s="10">
        <f>SUM(H98:H106)</f>
        <v>0</v>
      </c>
    </row>
    <row r="98" spans="1:8" x14ac:dyDescent="0.25">
      <c r="A98" s="15"/>
      <c r="B98" s="16" t="s">
        <v>25</v>
      </c>
      <c r="C98" s="10">
        <v>12593.6</v>
      </c>
      <c r="D98" s="10">
        <v>0</v>
      </c>
      <c r="E98" s="10">
        <f>+C98+D98</f>
        <v>12593.6</v>
      </c>
      <c r="F98" s="10">
        <v>12593.6</v>
      </c>
      <c r="G98" s="10">
        <v>12593.6</v>
      </c>
      <c r="H98" s="10">
        <f t="shared" si="30"/>
        <v>0</v>
      </c>
    </row>
    <row r="99" spans="1:8" x14ac:dyDescent="0.25">
      <c r="A99" s="15"/>
      <c r="B99" s="16" t="s">
        <v>26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30"/>
        <v>0</v>
      </c>
    </row>
    <row r="100" spans="1:8" x14ac:dyDescent="0.25">
      <c r="A100" s="15"/>
      <c r="B100" s="16" t="s">
        <v>27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30"/>
        <v>0</v>
      </c>
    </row>
    <row r="101" spans="1:8" x14ac:dyDescent="0.25">
      <c r="A101" s="15"/>
      <c r="B101" s="16" t="s">
        <v>28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30"/>
        <v>0</v>
      </c>
    </row>
    <row r="102" spans="1:8" x14ac:dyDescent="0.25">
      <c r="A102" s="15"/>
      <c r="B102" s="16" t="s">
        <v>29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30"/>
        <v>0</v>
      </c>
    </row>
    <row r="103" spans="1:8" x14ac:dyDescent="0.25">
      <c r="A103" s="15"/>
      <c r="B103" s="16" t="s">
        <v>30</v>
      </c>
      <c r="C103" s="10">
        <v>110.9</v>
      </c>
      <c r="D103" s="10">
        <v>0</v>
      </c>
      <c r="E103" s="10">
        <f>+C103+D103</f>
        <v>110.9</v>
      </c>
      <c r="F103" s="10">
        <v>110.9</v>
      </c>
      <c r="G103" s="10">
        <v>110.9</v>
      </c>
      <c r="H103" s="10">
        <f t="shared" si="30"/>
        <v>0</v>
      </c>
    </row>
    <row r="104" spans="1:8" x14ac:dyDescent="0.25">
      <c r="A104" s="15"/>
      <c r="B104" s="16" t="s">
        <v>31</v>
      </c>
      <c r="C104" s="10">
        <v>25</v>
      </c>
      <c r="D104" s="10">
        <v>0</v>
      </c>
      <c r="E104" s="10">
        <f>+C104+D104</f>
        <v>25</v>
      </c>
      <c r="F104" s="10">
        <v>25</v>
      </c>
      <c r="G104" s="10">
        <v>25</v>
      </c>
      <c r="H104" s="10">
        <f t="shared" si="30"/>
        <v>0</v>
      </c>
    </row>
    <row r="105" spans="1:8" x14ac:dyDescent="0.25">
      <c r="A105" s="15"/>
      <c r="B105" s="16" t="s">
        <v>32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si="30"/>
        <v>0</v>
      </c>
    </row>
    <row r="106" spans="1:8" x14ac:dyDescent="0.25">
      <c r="A106" s="15"/>
      <c r="B106" s="16" t="s">
        <v>33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30"/>
        <v>0</v>
      </c>
    </row>
    <row r="107" spans="1:8" x14ac:dyDescent="0.25">
      <c r="A107" s="20" t="s">
        <v>34</v>
      </c>
      <c r="B107" s="21"/>
      <c r="C107" s="10">
        <f>SUM(C108:C116)</f>
        <v>69793.8</v>
      </c>
      <c r="D107" s="10">
        <f t="shared" ref="D107:H107" si="32">SUM(D108:D116)</f>
        <v>0</v>
      </c>
      <c r="E107" s="10">
        <f t="shared" si="32"/>
        <v>69793.8</v>
      </c>
      <c r="F107" s="10">
        <f t="shared" si="32"/>
        <v>69793.8</v>
      </c>
      <c r="G107" s="10">
        <f t="shared" si="32"/>
        <v>69793.8</v>
      </c>
      <c r="H107" s="10">
        <f t="shared" si="32"/>
        <v>0</v>
      </c>
    </row>
    <row r="108" spans="1:8" x14ac:dyDescent="0.25">
      <c r="A108" s="15"/>
      <c r="B108" s="16" t="s">
        <v>35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30"/>
        <v>0</v>
      </c>
    </row>
    <row r="109" spans="1:8" x14ac:dyDescent="0.25">
      <c r="A109" s="15"/>
      <c r="B109" s="16" t="s">
        <v>36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30"/>
        <v>0</v>
      </c>
    </row>
    <row r="110" spans="1:8" x14ac:dyDescent="0.25">
      <c r="A110" s="15"/>
      <c r="B110" s="16" t="s">
        <v>37</v>
      </c>
      <c r="C110" s="10">
        <v>43830.9</v>
      </c>
      <c r="D110" s="10">
        <v>0</v>
      </c>
      <c r="E110" s="10">
        <f>+C110+D110</f>
        <v>43830.9</v>
      </c>
      <c r="F110" s="10">
        <v>43830.9</v>
      </c>
      <c r="G110" s="10">
        <v>43830.9</v>
      </c>
      <c r="H110" s="10">
        <f t="shared" si="30"/>
        <v>0</v>
      </c>
    </row>
    <row r="111" spans="1:8" x14ac:dyDescent="0.25">
      <c r="A111" s="15"/>
      <c r="B111" s="16" t="s">
        <v>38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30"/>
        <v>0</v>
      </c>
    </row>
    <row r="112" spans="1:8" x14ac:dyDescent="0.25">
      <c r="A112" s="15"/>
      <c r="B112" s="16" t="s">
        <v>39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30"/>
        <v>0</v>
      </c>
    </row>
    <row r="113" spans="1:8" x14ac:dyDescent="0.25">
      <c r="A113" s="15"/>
      <c r="B113" s="16" t="s">
        <v>40</v>
      </c>
      <c r="C113" s="10">
        <v>10</v>
      </c>
      <c r="D113" s="10">
        <v>0</v>
      </c>
      <c r="E113" s="10">
        <f>+C113+D113</f>
        <v>10</v>
      </c>
      <c r="F113" s="10">
        <v>10</v>
      </c>
      <c r="G113" s="10">
        <v>10</v>
      </c>
      <c r="H113" s="10">
        <f t="shared" si="30"/>
        <v>0</v>
      </c>
    </row>
    <row r="114" spans="1:8" x14ac:dyDescent="0.25">
      <c r="A114" s="15"/>
      <c r="B114" s="16" t="s">
        <v>41</v>
      </c>
      <c r="C114" s="10">
        <v>2658.7</v>
      </c>
      <c r="D114" s="10">
        <v>0</v>
      </c>
      <c r="E114" s="10">
        <f>+C114+D114</f>
        <v>2658.7</v>
      </c>
      <c r="F114" s="10">
        <v>2658.7</v>
      </c>
      <c r="G114" s="10">
        <v>2658.7</v>
      </c>
      <c r="H114" s="10">
        <f t="shared" si="30"/>
        <v>0</v>
      </c>
    </row>
    <row r="115" spans="1:8" x14ac:dyDescent="0.25">
      <c r="A115" s="15"/>
      <c r="B115" s="16" t="s">
        <v>42</v>
      </c>
      <c r="C115" s="10">
        <v>22858.400000000001</v>
      </c>
      <c r="D115" s="10">
        <v>0</v>
      </c>
      <c r="E115" s="10">
        <f>+C115+D115</f>
        <v>22858.400000000001</v>
      </c>
      <c r="F115" s="10">
        <f>5000+7000+1735+9123.4</f>
        <v>22858.400000000001</v>
      </c>
      <c r="G115" s="10">
        <v>22858.400000000001</v>
      </c>
      <c r="H115" s="10">
        <f>+E115-F115</f>
        <v>0</v>
      </c>
    </row>
    <row r="116" spans="1:8" x14ac:dyDescent="0.25">
      <c r="A116" s="15"/>
      <c r="B116" s="16" t="s">
        <v>43</v>
      </c>
      <c r="C116" s="10">
        <v>435.8</v>
      </c>
      <c r="D116" s="10">
        <v>0</v>
      </c>
      <c r="E116" s="10">
        <f>+C116+D116</f>
        <v>435.8</v>
      </c>
      <c r="F116" s="10">
        <v>435.8</v>
      </c>
      <c r="G116" s="10">
        <v>435.8</v>
      </c>
      <c r="H116" s="10">
        <f t="shared" si="30"/>
        <v>0</v>
      </c>
    </row>
    <row r="117" spans="1:8" x14ac:dyDescent="0.25">
      <c r="A117" s="20" t="s">
        <v>44</v>
      </c>
      <c r="B117" s="21"/>
      <c r="C117" s="10">
        <f>SUM(C118:C124)</f>
        <v>62159599.599999994</v>
      </c>
      <c r="D117" s="10">
        <f t="shared" ref="D117:E117" si="33">SUM(D118:D124)</f>
        <v>0</v>
      </c>
      <c r="E117" s="10">
        <f t="shared" si="33"/>
        <v>62159599.599999994</v>
      </c>
      <c r="F117" s="10">
        <f>SUM(F118:F126)</f>
        <v>24534334.300000001</v>
      </c>
      <c r="G117" s="10">
        <f>SUM(G118:G126)</f>
        <v>24534334.300000001</v>
      </c>
      <c r="H117" s="10">
        <f t="shared" si="30"/>
        <v>37625265.299999997</v>
      </c>
    </row>
    <row r="118" spans="1:8" x14ac:dyDescent="0.25">
      <c r="A118" s="15"/>
      <c r="B118" s="16" t="s">
        <v>45</v>
      </c>
      <c r="C118" s="10">
        <v>973531.1</v>
      </c>
      <c r="D118" s="10">
        <v>0</v>
      </c>
      <c r="E118" s="10">
        <f>+C118+D118</f>
        <v>973531.1</v>
      </c>
      <c r="F118" s="10">
        <v>973531.1</v>
      </c>
      <c r="G118" s="10">
        <v>973531.1</v>
      </c>
      <c r="H118" s="10">
        <f t="shared" si="30"/>
        <v>0</v>
      </c>
    </row>
    <row r="119" spans="1:8" x14ac:dyDescent="0.25">
      <c r="A119" s="15"/>
      <c r="B119" s="16" t="s">
        <v>46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30"/>
        <v>0</v>
      </c>
    </row>
    <row r="120" spans="1:8" x14ac:dyDescent="0.25">
      <c r="A120" s="15"/>
      <c r="B120" s="16" t="s">
        <v>47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30"/>
        <v>0</v>
      </c>
    </row>
    <row r="121" spans="1:8" x14ac:dyDescent="0.25">
      <c r="A121" s="15"/>
      <c r="B121" s="16" t="s">
        <v>48</v>
      </c>
      <c r="C121" s="10">
        <v>600</v>
      </c>
      <c r="D121" s="10">
        <v>0</v>
      </c>
      <c r="E121" s="10">
        <f>+C121+D121</f>
        <v>600</v>
      </c>
      <c r="F121" s="10">
        <v>600</v>
      </c>
      <c r="G121" s="10">
        <v>600</v>
      </c>
      <c r="H121" s="10">
        <f t="shared" si="30"/>
        <v>0</v>
      </c>
    </row>
    <row r="122" spans="1:8" x14ac:dyDescent="0.25">
      <c r="A122" s="15"/>
      <c r="B122" s="16" t="s">
        <v>49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30"/>
        <v>0</v>
      </c>
    </row>
    <row r="123" spans="1:8" x14ac:dyDescent="0.25">
      <c r="A123" s="15"/>
      <c r="B123" s="16" t="s">
        <v>50</v>
      </c>
      <c r="C123" s="10">
        <f>28287112+9351347.9+723508.5+29583163.4-12729.5-69793.8-974131.1-30441.7-5672567.2</f>
        <v>61185468.499999993</v>
      </c>
      <c r="D123" s="10">
        <v>0</v>
      </c>
      <c r="E123" s="10">
        <f>+C123+D123</f>
        <v>61185468.499999993</v>
      </c>
      <c r="F123" s="10">
        <f>25670832.7-676962.4-1433667.1</f>
        <v>23560203.199999999</v>
      </c>
      <c r="G123" s="10">
        <f>24993870.3-1433667.1</f>
        <v>23560203.199999999</v>
      </c>
      <c r="H123" s="10">
        <f t="shared" si="30"/>
        <v>37625265.299999997</v>
      </c>
    </row>
    <row r="124" spans="1:8" x14ac:dyDescent="0.25">
      <c r="A124" s="15"/>
      <c r="B124" s="16" t="s">
        <v>51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f t="shared" si="30"/>
        <v>0</v>
      </c>
    </row>
    <row r="125" spans="1:8" x14ac:dyDescent="0.25">
      <c r="A125" s="15"/>
      <c r="B125" s="16" t="s">
        <v>52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30"/>
        <v>0</v>
      </c>
    </row>
    <row r="126" spans="1:8" x14ac:dyDescent="0.25">
      <c r="A126" s="15"/>
      <c r="B126" s="16" t="s">
        <v>53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30"/>
        <v>0</v>
      </c>
    </row>
    <row r="127" spans="1:8" x14ac:dyDescent="0.25">
      <c r="A127" s="20" t="s">
        <v>54</v>
      </c>
      <c r="B127" s="21"/>
      <c r="C127" s="10">
        <f t="shared" ref="C127:G127" si="34">SUM(C128:C136)</f>
        <v>30441.699999999997</v>
      </c>
      <c r="D127" s="10">
        <f t="shared" si="34"/>
        <v>0</v>
      </c>
      <c r="E127" s="10">
        <f t="shared" si="34"/>
        <v>30441.699999999997</v>
      </c>
      <c r="F127" s="10">
        <f t="shared" si="34"/>
        <v>30441.699999999997</v>
      </c>
      <c r="G127" s="10">
        <f t="shared" si="34"/>
        <v>30441.699999999997</v>
      </c>
      <c r="H127" s="10">
        <f t="shared" si="30"/>
        <v>0</v>
      </c>
    </row>
    <row r="128" spans="1:8" x14ac:dyDescent="0.25">
      <c r="A128" s="15"/>
      <c r="B128" s="16" t="s">
        <v>55</v>
      </c>
      <c r="C128" s="10">
        <v>30079.1</v>
      </c>
      <c r="D128" s="10">
        <v>0</v>
      </c>
      <c r="E128" s="10">
        <f>+C128+D128</f>
        <v>30079.1</v>
      </c>
      <c r="F128" s="10">
        <f>29000+1079.1</f>
        <v>30079.1</v>
      </c>
      <c r="G128" s="10">
        <v>30079.1</v>
      </c>
      <c r="H128" s="10">
        <f t="shared" si="30"/>
        <v>0</v>
      </c>
    </row>
    <row r="129" spans="1:8" x14ac:dyDescent="0.25">
      <c r="A129" s="15"/>
      <c r="B129" s="16" t="s">
        <v>56</v>
      </c>
      <c r="C129" s="10">
        <v>341.6</v>
      </c>
      <c r="D129" s="10">
        <v>0</v>
      </c>
      <c r="E129" s="10">
        <f>+C129+D129</f>
        <v>341.6</v>
      </c>
      <c r="F129" s="10">
        <v>341.6</v>
      </c>
      <c r="G129" s="10">
        <v>341.6</v>
      </c>
      <c r="H129" s="10">
        <f t="shared" si="30"/>
        <v>0</v>
      </c>
    </row>
    <row r="130" spans="1:8" x14ac:dyDescent="0.25">
      <c r="A130" s="15"/>
      <c r="B130" s="16" t="s">
        <v>57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30"/>
        <v>0</v>
      </c>
    </row>
    <row r="131" spans="1:8" x14ac:dyDescent="0.25">
      <c r="A131" s="15"/>
      <c r="B131" s="16" t="s">
        <v>58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30"/>
        <v>0</v>
      </c>
    </row>
    <row r="132" spans="1:8" x14ac:dyDescent="0.25">
      <c r="A132" s="15"/>
      <c r="B132" s="16" t="s">
        <v>59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30"/>
        <v>0</v>
      </c>
    </row>
    <row r="133" spans="1:8" x14ac:dyDescent="0.25">
      <c r="A133" s="15"/>
      <c r="B133" s="16" t="s">
        <v>60</v>
      </c>
      <c r="C133" s="10">
        <v>21</v>
      </c>
      <c r="D133" s="10">
        <v>0</v>
      </c>
      <c r="E133" s="10">
        <f>+C133+D133</f>
        <v>21</v>
      </c>
      <c r="F133" s="10">
        <v>21</v>
      </c>
      <c r="G133" s="10">
        <v>21</v>
      </c>
      <c r="H133" s="10">
        <f t="shared" si="30"/>
        <v>0</v>
      </c>
    </row>
    <row r="134" spans="1:8" x14ac:dyDescent="0.25">
      <c r="A134" s="15"/>
      <c r="B134" s="16" t="s">
        <v>61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 t="shared" si="30"/>
        <v>0</v>
      </c>
    </row>
    <row r="135" spans="1:8" x14ac:dyDescent="0.25">
      <c r="A135" s="15"/>
      <c r="B135" s="16" t="s">
        <v>62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30"/>
        <v>0</v>
      </c>
    </row>
    <row r="136" spans="1:8" x14ac:dyDescent="0.25">
      <c r="A136" s="15"/>
      <c r="B136" s="16" t="s">
        <v>63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30"/>
        <v>0</v>
      </c>
    </row>
    <row r="137" spans="1:8" x14ac:dyDescent="0.25">
      <c r="A137" s="20" t="s">
        <v>64</v>
      </c>
      <c r="B137" s="21"/>
      <c r="C137" s="10">
        <f>SUM(C138:C140)</f>
        <v>3170838.5</v>
      </c>
      <c r="D137" s="10">
        <f t="shared" ref="D137:G137" si="35">SUM(D138:D140)</f>
        <v>0</v>
      </c>
      <c r="E137" s="10">
        <f t="shared" si="35"/>
        <v>3170838.5</v>
      </c>
      <c r="F137" s="10">
        <f t="shared" si="35"/>
        <v>575359.00000000012</v>
      </c>
      <c r="G137" s="10">
        <f t="shared" si="35"/>
        <v>575359</v>
      </c>
      <c r="H137" s="10">
        <f t="shared" si="30"/>
        <v>2595479.5</v>
      </c>
    </row>
    <row r="138" spans="1:8" x14ac:dyDescent="0.25">
      <c r="A138" s="15"/>
      <c r="B138" s="16" t="s">
        <v>65</v>
      </c>
      <c r="C138" s="10">
        <f>2127369.2+492292.5+551176.8-101500-10045.4</f>
        <v>3059293.1</v>
      </c>
      <c r="D138" s="10">
        <v>0</v>
      </c>
      <c r="E138" s="10">
        <f>+C138+D138</f>
        <v>3059293.1</v>
      </c>
      <c r="F138" s="10">
        <f>2258488.5+130142.5-1371417.9-553399.5</f>
        <v>463813.60000000009</v>
      </c>
      <c r="G138" s="10">
        <f>1017213.1-553399.5</f>
        <v>463813.6</v>
      </c>
      <c r="H138" s="10">
        <f t="shared" si="30"/>
        <v>2595479.5</v>
      </c>
    </row>
    <row r="139" spans="1:8" x14ac:dyDescent="0.25">
      <c r="A139" s="15"/>
      <c r="B139" s="16" t="s">
        <v>66</v>
      </c>
      <c r="C139" s="10">
        <v>101500</v>
      </c>
      <c r="D139" s="10">
        <v>0</v>
      </c>
      <c r="E139" s="10">
        <f>+C139+D139</f>
        <v>101500</v>
      </c>
      <c r="F139" s="10">
        <f>17093.6+84406.4</f>
        <v>101500</v>
      </c>
      <c r="G139" s="10">
        <v>101500</v>
      </c>
      <c r="H139" s="10">
        <f t="shared" si="30"/>
        <v>0</v>
      </c>
    </row>
    <row r="140" spans="1:8" x14ac:dyDescent="0.25">
      <c r="A140" s="15"/>
      <c r="B140" s="16" t="s">
        <v>67</v>
      </c>
      <c r="C140" s="10">
        <v>10045.4</v>
      </c>
      <c r="D140" s="10">
        <v>0</v>
      </c>
      <c r="E140" s="10">
        <f>+C140+D140</f>
        <v>10045.4</v>
      </c>
      <c r="F140" s="10">
        <v>10045.4</v>
      </c>
      <c r="G140" s="10">
        <v>10045.4</v>
      </c>
      <c r="H140" s="10">
        <f t="shared" si="30"/>
        <v>0</v>
      </c>
    </row>
    <row r="141" spans="1:8" x14ac:dyDescent="0.25">
      <c r="A141" s="20" t="s">
        <v>68</v>
      </c>
      <c r="B141" s="21"/>
      <c r="C141" s="10">
        <f>SUM(C142:C149)</f>
        <v>0</v>
      </c>
      <c r="D141" s="10">
        <f t="shared" ref="D141:G141" si="36">SUM(D142:D149)</f>
        <v>0</v>
      </c>
      <c r="E141" s="10">
        <f t="shared" si="36"/>
        <v>0</v>
      </c>
      <c r="F141" s="10">
        <f t="shared" si="36"/>
        <v>0</v>
      </c>
      <c r="G141" s="10">
        <f t="shared" si="36"/>
        <v>0</v>
      </c>
      <c r="H141" s="10">
        <f t="shared" si="30"/>
        <v>0</v>
      </c>
    </row>
    <row r="142" spans="1:8" x14ac:dyDescent="0.25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0"/>
        <v>0</v>
      </c>
    </row>
    <row r="143" spans="1:8" x14ac:dyDescent="0.25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0"/>
        <v>0</v>
      </c>
    </row>
    <row r="144" spans="1:8" x14ac:dyDescent="0.25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0"/>
        <v>0</v>
      </c>
    </row>
    <row r="145" spans="1:8" x14ac:dyDescent="0.25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0"/>
        <v>0</v>
      </c>
    </row>
    <row r="146" spans="1:8" x14ac:dyDescent="0.25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0"/>
        <v>0</v>
      </c>
    </row>
    <row r="147" spans="1:8" x14ac:dyDescent="0.25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0"/>
        <v>0</v>
      </c>
    </row>
    <row r="148" spans="1:8" x14ac:dyDescent="0.25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0"/>
        <v>0</v>
      </c>
    </row>
    <row r="149" spans="1:8" x14ac:dyDescent="0.25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0"/>
        <v>0</v>
      </c>
    </row>
    <row r="150" spans="1:8" x14ac:dyDescent="0.25">
      <c r="A150" s="20" t="s">
        <v>77</v>
      </c>
      <c r="B150" s="21"/>
      <c r="C150" s="10">
        <f>SUM(C151:C153)</f>
        <v>13028503.1</v>
      </c>
      <c r="D150" s="10">
        <f t="shared" ref="D150:G150" si="37">SUM(D151:D153)</f>
        <v>0</v>
      </c>
      <c r="E150" s="10">
        <f t="shared" si="37"/>
        <v>13028503.1</v>
      </c>
      <c r="F150" s="10">
        <f t="shared" si="37"/>
        <v>7604901.2000000002</v>
      </c>
      <c r="G150" s="10">
        <f t="shared" si="37"/>
        <v>7604901.2000000002</v>
      </c>
      <c r="H150" s="10">
        <f t="shared" si="30"/>
        <v>5423601.8999999994</v>
      </c>
    </row>
    <row r="151" spans="1:8" x14ac:dyDescent="0.25">
      <c r="A151" s="15"/>
      <c r="B151" s="16" t="s">
        <v>78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0"/>
        <v>0</v>
      </c>
    </row>
    <row r="152" spans="1:8" x14ac:dyDescent="0.25">
      <c r="A152" s="15"/>
      <c r="B152" s="16" t="s">
        <v>79</v>
      </c>
      <c r="C152" s="10">
        <f>4041963.1+9448704.7-462164.7-462164.7</f>
        <v>12566338.4</v>
      </c>
      <c r="D152" s="10">
        <v>0</v>
      </c>
      <c r="E152" s="10">
        <f>+C152+D152</f>
        <v>12566338.4</v>
      </c>
      <c r="F152" s="10">
        <f>2421776.9+4720959.6</f>
        <v>7142736.5</v>
      </c>
      <c r="G152" s="10">
        <v>7142736.5</v>
      </c>
      <c r="H152" s="10">
        <f t="shared" si="30"/>
        <v>5423601.9000000004</v>
      </c>
    </row>
    <row r="153" spans="1:8" x14ac:dyDescent="0.25">
      <c r="A153" s="15"/>
      <c r="B153" s="16" t="s">
        <v>80</v>
      </c>
      <c r="C153" s="10">
        <v>462164.7</v>
      </c>
      <c r="D153" s="10">
        <v>0</v>
      </c>
      <c r="E153" s="10">
        <f>+C153+D153</f>
        <v>462164.7</v>
      </c>
      <c r="F153" s="10">
        <v>462164.7</v>
      </c>
      <c r="G153" s="10">
        <v>462164.7</v>
      </c>
      <c r="H153" s="10">
        <f t="shared" si="30"/>
        <v>0</v>
      </c>
    </row>
    <row r="154" spans="1:8" x14ac:dyDescent="0.25">
      <c r="A154" s="20" t="s">
        <v>81</v>
      </c>
      <c r="B154" s="21"/>
      <c r="C154" s="10">
        <f>SUM(C155:C161)</f>
        <v>5445309.5999999996</v>
      </c>
      <c r="D154" s="10">
        <f t="shared" ref="D154:G154" si="38">SUM(D155:D161)</f>
        <v>0</v>
      </c>
      <c r="E154" s="10">
        <f t="shared" si="38"/>
        <v>5445309.5999999996</v>
      </c>
      <c r="F154" s="10">
        <f t="shared" si="38"/>
        <v>2047207.9</v>
      </c>
      <c r="G154" s="10">
        <f t="shared" si="38"/>
        <v>2047207.9</v>
      </c>
      <c r="H154" s="10">
        <f t="shared" si="30"/>
        <v>3398101.6999999997</v>
      </c>
    </row>
    <row r="155" spans="1:8" x14ac:dyDescent="0.25">
      <c r="A155" s="15"/>
      <c r="B155" s="16" t="s">
        <v>82</v>
      </c>
      <c r="C155" s="10">
        <v>1197968.1000000001</v>
      </c>
      <c r="D155" s="10">
        <v>0</v>
      </c>
      <c r="E155" s="10">
        <f>+C155</f>
        <v>1197968.1000000001</v>
      </c>
      <c r="F155" s="10">
        <v>446747.9</v>
      </c>
      <c r="G155" s="10">
        <v>446747.9</v>
      </c>
      <c r="H155" s="10">
        <f>+E155-F155</f>
        <v>751220.20000000007</v>
      </c>
    </row>
    <row r="156" spans="1:8" x14ac:dyDescent="0.25">
      <c r="A156" s="15"/>
      <c r="B156" s="16" t="s">
        <v>83</v>
      </c>
      <c r="C156" s="10">
        <v>3702810.5</v>
      </c>
      <c r="D156" s="10">
        <v>0</v>
      </c>
      <c r="E156" s="10">
        <f t="shared" ref="E156:E161" si="39">+C156</f>
        <v>3702810.5</v>
      </c>
      <c r="F156" s="10">
        <v>1423883.4</v>
      </c>
      <c r="G156" s="10">
        <v>1423883.4</v>
      </c>
      <c r="H156" s="10">
        <f t="shared" ref="H156:H161" si="40">+E156-F156</f>
        <v>2278927.1</v>
      </c>
    </row>
    <row r="157" spans="1:8" x14ac:dyDescent="0.25">
      <c r="A157" s="15"/>
      <c r="B157" s="16" t="s">
        <v>84</v>
      </c>
      <c r="C157" s="10">
        <v>0</v>
      </c>
      <c r="D157" s="10">
        <v>0</v>
      </c>
      <c r="E157" s="10">
        <f t="shared" si="39"/>
        <v>0</v>
      </c>
      <c r="F157" s="10">
        <v>0</v>
      </c>
      <c r="G157" s="10">
        <v>0</v>
      </c>
      <c r="H157" s="10">
        <f t="shared" si="40"/>
        <v>0</v>
      </c>
    </row>
    <row r="158" spans="1:8" x14ac:dyDescent="0.25">
      <c r="A158" s="15"/>
      <c r="B158" s="16" t="s">
        <v>85</v>
      </c>
      <c r="C158" s="10">
        <v>0</v>
      </c>
      <c r="D158" s="10">
        <v>0</v>
      </c>
      <c r="E158" s="10">
        <f t="shared" si="39"/>
        <v>0</v>
      </c>
      <c r="F158" s="10">
        <v>0</v>
      </c>
      <c r="G158" s="10">
        <v>0</v>
      </c>
      <c r="H158" s="10">
        <f t="shared" si="40"/>
        <v>0</v>
      </c>
    </row>
    <row r="159" spans="1:8" x14ac:dyDescent="0.25">
      <c r="A159" s="15"/>
      <c r="B159" s="16" t="s">
        <v>86</v>
      </c>
      <c r="C159" s="10">
        <v>544531</v>
      </c>
      <c r="D159" s="10">
        <v>0</v>
      </c>
      <c r="E159" s="10">
        <f t="shared" si="39"/>
        <v>544531</v>
      </c>
      <c r="F159" s="10">
        <v>176576.6</v>
      </c>
      <c r="G159" s="10">
        <v>176576.6</v>
      </c>
      <c r="H159" s="10">
        <f t="shared" si="40"/>
        <v>367954.4</v>
      </c>
    </row>
    <row r="160" spans="1:8" x14ac:dyDescent="0.25">
      <c r="A160" s="15"/>
      <c r="B160" s="16" t="s">
        <v>87</v>
      </c>
      <c r="C160" s="10">
        <v>0</v>
      </c>
      <c r="D160" s="10">
        <v>0</v>
      </c>
      <c r="E160" s="10">
        <f t="shared" si="39"/>
        <v>0</v>
      </c>
      <c r="F160" s="10">
        <v>0</v>
      </c>
      <c r="G160" s="10">
        <v>0</v>
      </c>
      <c r="H160" s="10">
        <f t="shared" si="40"/>
        <v>0</v>
      </c>
    </row>
    <row r="161" spans="1:11" x14ac:dyDescent="0.25">
      <c r="A161" s="15"/>
      <c r="B161" s="16" t="s">
        <v>88</v>
      </c>
      <c r="C161" s="10">
        <v>0</v>
      </c>
      <c r="D161" s="10">
        <v>0</v>
      </c>
      <c r="E161" s="10">
        <f t="shared" si="39"/>
        <v>0</v>
      </c>
      <c r="F161" s="10">
        <v>0</v>
      </c>
      <c r="G161" s="10">
        <v>0</v>
      </c>
      <c r="H161" s="10">
        <f t="shared" si="40"/>
        <v>0</v>
      </c>
    </row>
    <row r="162" spans="1:11" x14ac:dyDescent="0.25">
      <c r="A162" s="15"/>
      <c r="B162" s="16"/>
      <c r="C162" s="10"/>
      <c r="D162" s="10"/>
      <c r="E162" s="10"/>
      <c r="F162" s="10"/>
      <c r="G162" s="10"/>
      <c r="H162" s="10"/>
    </row>
    <row r="163" spans="1:11" x14ac:dyDescent="0.25">
      <c r="A163" s="36" t="s">
        <v>90</v>
      </c>
      <c r="B163" s="37"/>
      <c r="C163" s="12">
        <f>+C10+C88</f>
        <v>227455309.639</v>
      </c>
      <c r="D163" s="12">
        <f t="shared" ref="D163:H163" si="41">+D10+D88</f>
        <v>329882.29671000177</v>
      </c>
      <c r="E163" s="12">
        <f t="shared" si="41"/>
        <v>227785191.93570998</v>
      </c>
      <c r="F163" s="12">
        <f t="shared" si="41"/>
        <v>124040444.36985001</v>
      </c>
      <c r="G163" s="12">
        <f t="shared" si="41"/>
        <v>121656097.52104999</v>
      </c>
      <c r="H163" s="12">
        <f t="shared" si="41"/>
        <v>103744747.56586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7" spans="1:11" x14ac:dyDescent="0.25">
      <c r="J167" s="18"/>
      <c r="K167" s="18"/>
    </row>
    <row r="168" spans="1:11" x14ac:dyDescent="0.25">
      <c r="J168" s="18"/>
      <c r="K168" s="18"/>
    </row>
    <row r="169" spans="1:11" x14ac:dyDescent="0.25"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</sheetData>
  <mergeCells count="31">
    <mergeCell ref="A163:B163"/>
    <mergeCell ref="A117:B117"/>
    <mergeCell ref="A127:B127"/>
    <mergeCell ref="A137:B137"/>
    <mergeCell ref="A141:B141"/>
    <mergeCell ref="A150:B150"/>
    <mergeCell ref="A154:B154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revision/>
  <cp:lastPrinted>2017-08-30T17:19:08Z</cp:lastPrinted>
  <dcterms:created xsi:type="dcterms:W3CDTF">2017-05-09T18:38:53Z</dcterms:created>
  <dcterms:modified xsi:type="dcterms:W3CDTF">2017-08-30T17:19:13Z</dcterms:modified>
</cp:coreProperties>
</file>