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ITDIF insumos\LDF\archive\"/>
    </mc:Choice>
  </mc:AlternateContent>
  <bookViews>
    <workbookView xWindow="0" yWindow="60" windowWidth="20490" windowHeight="7470"/>
  </bookViews>
  <sheets>
    <sheet name="Formato 6c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8" l="1"/>
  <c r="I82" i="8"/>
  <c r="I81" i="8"/>
  <c r="I76" i="8"/>
  <c r="I75" i="8"/>
  <c r="I74" i="8"/>
  <c r="I73" i="8"/>
  <c r="I72" i="8"/>
  <c r="I71" i="8"/>
  <c r="I70" i="8"/>
  <c r="I66" i="8"/>
  <c r="I65" i="8"/>
  <c r="I63" i="8"/>
  <c r="I60" i="8"/>
  <c r="I57" i="8"/>
  <c r="I56" i="8"/>
  <c r="I55" i="8"/>
  <c r="I54" i="8"/>
  <c r="I53" i="8"/>
  <c r="I52" i="8"/>
  <c r="I51" i="8"/>
  <c r="I24" i="8"/>
  <c r="E36" i="8"/>
  <c r="E82" i="8"/>
  <c r="F27" i="8"/>
  <c r="F64" i="8"/>
  <c r="E26" i="8"/>
  <c r="E63" i="8"/>
  <c r="E23" i="8"/>
  <c r="E60" i="8"/>
  <c r="F15" i="8"/>
  <c r="G15" i="8" s="1"/>
  <c r="F52" i="8"/>
  <c r="E14" i="8"/>
  <c r="E51" i="8"/>
  <c r="E52" i="8"/>
  <c r="H27" i="8"/>
  <c r="I27" i="8"/>
  <c r="E27" i="8"/>
  <c r="G27" i="8" s="1"/>
  <c r="G18" i="8"/>
  <c r="G13" i="8"/>
  <c r="F36" i="8"/>
  <c r="H64" i="8"/>
  <c r="I64" i="8" s="1"/>
  <c r="E64" i="8"/>
  <c r="J27" i="8" l="1"/>
  <c r="H24" i="8"/>
  <c r="H25" i="8"/>
  <c r="F24" i="8"/>
  <c r="E24" i="8"/>
  <c r="G24" i="8" s="1"/>
  <c r="F51" i="8"/>
  <c r="E80" i="8"/>
  <c r="I43" i="8"/>
  <c r="H43" i="8"/>
  <c r="E43" i="8"/>
  <c r="I36" i="8" l="1"/>
  <c r="I19" i="8" l="1"/>
  <c r="F60" i="8"/>
  <c r="F61" i="8"/>
  <c r="E61" i="8"/>
  <c r="H61" i="8"/>
  <c r="I61" i="8" s="1"/>
  <c r="H80" i="8"/>
  <c r="I80" i="8" s="1"/>
  <c r="H62" i="8" l="1"/>
  <c r="I62" i="8" s="1"/>
  <c r="E62" i="8"/>
  <c r="H36" i="8"/>
  <c r="I25" i="8"/>
  <c r="E25" i="8"/>
  <c r="H68" i="8" l="1"/>
  <c r="H22" i="8"/>
  <c r="G83" i="8"/>
  <c r="G82" i="8"/>
  <c r="G81" i="8"/>
  <c r="G80" i="8"/>
  <c r="J80" i="8" s="1"/>
  <c r="G77" i="8"/>
  <c r="G76" i="8"/>
  <c r="G75" i="8"/>
  <c r="G74" i="8"/>
  <c r="G73" i="8"/>
  <c r="G72" i="8"/>
  <c r="G71" i="8"/>
  <c r="G70" i="8"/>
  <c r="G69" i="8"/>
  <c r="G65" i="8"/>
  <c r="G64" i="8"/>
  <c r="J64" i="8" s="1"/>
  <c r="G62" i="8"/>
  <c r="G61" i="8"/>
  <c r="G60" i="8"/>
  <c r="G57" i="8"/>
  <c r="G55" i="8"/>
  <c r="G54" i="8"/>
  <c r="G53" i="8"/>
  <c r="G52" i="8"/>
  <c r="G51" i="8"/>
  <c r="G50" i="8"/>
  <c r="G45" i="8"/>
  <c r="G43" i="8"/>
  <c r="G36" i="8"/>
  <c r="H12" i="8"/>
  <c r="I68" i="8"/>
  <c r="F68" i="8"/>
  <c r="E68" i="8"/>
  <c r="I49" i="8"/>
  <c r="H49" i="8"/>
  <c r="E49" i="8"/>
  <c r="E79" i="8"/>
  <c r="I79" i="8"/>
  <c r="H79" i="8"/>
  <c r="F79" i="8"/>
  <c r="I59" i="8"/>
  <c r="H59" i="8"/>
  <c r="E59" i="8"/>
  <c r="I42" i="8"/>
  <c r="H42" i="8"/>
  <c r="E42" i="8"/>
  <c r="I31" i="8"/>
  <c r="E31" i="8"/>
  <c r="I12" i="8"/>
  <c r="I22" i="8"/>
  <c r="G68" i="8" l="1"/>
  <c r="G79" i="8"/>
  <c r="H31" i="8"/>
  <c r="H11" i="8" s="1"/>
  <c r="I11" i="8"/>
  <c r="E48" i="8"/>
  <c r="H48" i="8"/>
  <c r="I48" i="8"/>
  <c r="F23" i="8"/>
  <c r="G23" i="8" s="1"/>
  <c r="F16" i="8"/>
  <c r="G16" i="8" s="1"/>
  <c r="F63" i="8"/>
  <c r="F56" i="8"/>
  <c r="F46" i="8"/>
  <c r="G46" i="8" s="1"/>
  <c r="F44" i="8"/>
  <c r="F40" i="8"/>
  <c r="G40" i="8" s="1"/>
  <c r="F39" i="8"/>
  <c r="G39" i="8" s="1"/>
  <c r="F38" i="8"/>
  <c r="G38" i="8" s="1"/>
  <c r="F37" i="8"/>
  <c r="G37" i="8" s="1"/>
  <c r="F35" i="8"/>
  <c r="G35" i="8" s="1"/>
  <c r="F34" i="8"/>
  <c r="G34" i="8" s="1"/>
  <c r="F33" i="8"/>
  <c r="G33" i="8" s="1"/>
  <c r="F32" i="8"/>
  <c r="F28" i="8"/>
  <c r="G28" i="8" s="1"/>
  <c r="F26" i="8"/>
  <c r="G26" i="8" s="1"/>
  <c r="F25" i="8"/>
  <c r="G25" i="8" s="1"/>
  <c r="F20" i="8"/>
  <c r="G20" i="8" s="1"/>
  <c r="F19" i="8"/>
  <c r="G19" i="8" s="1"/>
  <c r="F17" i="8"/>
  <c r="G17" i="8" s="1"/>
  <c r="F14" i="8"/>
  <c r="G14" i="8" s="1"/>
  <c r="G32" i="8" l="1"/>
  <c r="F31" i="8"/>
  <c r="G31" i="8" s="1"/>
  <c r="G44" i="8"/>
  <c r="F42" i="8"/>
  <c r="G42" i="8" s="1"/>
  <c r="G56" i="8"/>
  <c r="F49" i="8"/>
  <c r="G63" i="8"/>
  <c r="F59" i="8"/>
  <c r="G59" i="8" s="1"/>
  <c r="I85" i="8"/>
  <c r="H85" i="8"/>
  <c r="J44" i="8"/>
  <c r="J46" i="8"/>
  <c r="J51" i="8"/>
  <c r="J52" i="8"/>
  <c r="J53" i="8"/>
  <c r="J56" i="8"/>
  <c r="J60" i="8"/>
  <c r="J61" i="8"/>
  <c r="J62" i="8"/>
  <c r="J63" i="8"/>
  <c r="J65" i="8"/>
  <c r="J66" i="8"/>
  <c r="J70" i="8"/>
  <c r="J71" i="8"/>
  <c r="J72" i="8"/>
  <c r="J73" i="8"/>
  <c r="J74" i="8"/>
  <c r="J75" i="8"/>
  <c r="J76" i="8"/>
  <c r="J77" i="8"/>
  <c r="J82" i="8"/>
  <c r="J83" i="8"/>
  <c r="J14" i="8"/>
  <c r="J15" i="8"/>
  <c r="J16" i="8"/>
  <c r="J17" i="8"/>
  <c r="J18" i="8"/>
  <c r="J19" i="8"/>
  <c r="J20" i="8"/>
  <c r="E22" i="8"/>
  <c r="F22" i="8"/>
  <c r="J23" i="8"/>
  <c r="J24" i="8"/>
  <c r="J25" i="8"/>
  <c r="J26" i="8"/>
  <c r="J28" i="8"/>
  <c r="J32" i="8"/>
  <c r="J33" i="8"/>
  <c r="J34" i="8"/>
  <c r="J35" i="8"/>
  <c r="J36" i="8"/>
  <c r="J37" i="8"/>
  <c r="J38" i="8"/>
  <c r="J39" i="8"/>
  <c r="J40" i="8"/>
  <c r="J43" i="8"/>
  <c r="J13" i="8"/>
  <c r="F12" i="8"/>
  <c r="E12" i="8"/>
  <c r="G49" i="8" l="1"/>
  <c r="F48" i="8"/>
  <c r="G48" i="8" s="1"/>
  <c r="G12" i="8"/>
  <c r="G22" i="8"/>
  <c r="J22" i="8" s="1"/>
  <c r="F11" i="8"/>
  <c r="J59" i="8"/>
  <c r="J31" i="8"/>
  <c r="J81" i="8"/>
  <c r="J79" i="8" s="1"/>
  <c r="J69" i="8"/>
  <c r="J68" i="8" s="1"/>
  <c r="J50" i="8"/>
  <c r="J49" i="8" s="1"/>
  <c r="J45" i="8"/>
  <c r="J42" i="8" s="1"/>
  <c r="E11" i="8"/>
  <c r="F85" i="8" l="1"/>
  <c r="E85" i="8"/>
  <c r="G11" i="8"/>
  <c r="G85" i="8" s="1"/>
  <c r="J48" i="8"/>
  <c r="J12" i="8"/>
  <c r="J11" i="8" s="1"/>
  <c r="J85" i="8" l="1"/>
</calcChain>
</file>

<file path=xl/sharedStrings.xml><?xml version="1.0" encoding="utf-8"?>
<sst xmlns="http://schemas.openxmlformats.org/spreadsheetml/2006/main" count="82" uniqueCount="50">
  <si>
    <t>Concepto (c)</t>
  </si>
  <si>
    <t>Devengado</t>
  </si>
  <si>
    <t>Pagado</t>
  </si>
  <si>
    <t>Estado Analítico del Ejercicio del Presupuesto de Egresos Detallado - LDF</t>
  </si>
  <si>
    <t>Egresos</t>
  </si>
  <si>
    <t>Subejercicio (e)</t>
  </si>
  <si>
    <t>Aprobado (d)</t>
  </si>
  <si>
    <t xml:space="preserve">Ampliaciones/ (Reducciones) </t>
  </si>
  <si>
    <t xml:space="preserve">Modificado </t>
  </si>
  <si>
    <t>III. Total de Egresos (III = I + II)</t>
  </si>
  <si>
    <t>Formato 6 c) Estado Analítico del Ejercicio del Presupuesto de Egresos Detallado - LDF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</si>
  <si>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</si>
  <si>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</si>
  <si>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</si>
  <si>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</si>
  <si>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</si>
  <si>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</si>
  <si>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</si>
  <si>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</si>
  <si>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</si>
  <si>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</si>
  <si>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</si>
  <si>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</si>
  <si>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</si>
  <si>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</si>
  <si>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</si>
  <si>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</si>
  <si>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</si>
  <si>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</si>
  <si>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</si>
  <si>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</si>
  <si>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</si>
  <si>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</si>
  <si>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</si>
  <si>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</si>
  <si>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</si>
  <si>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</si>
  <si>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</si>
  <si>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</si>
  <si>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</si>
  <si>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</si>
  <si>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</si>
  <si>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</si>
  <si>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</si>
  <si>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</si>
  <si>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</si>
  <si>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</si>
  <si>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(MILES DE PESOS)</t>
  </si>
  <si>
    <t>Gobierno del Estado de México</t>
  </si>
  <si>
    <t>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</si>
</sst>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3" fillId="0" borderId="5" xfId="0" applyFont="1" applyBorder="1"/>
    <xf numFmtId="0" fontId="1" fillId="0" borderId="6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right"/>
    </xf>
    <xf numFmtId="164" fontId="3" fillId="0" borderId="0" xfId="0" applyNumberFormat="1" applyFont="1"/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tabSelected="1" zoomScale="130" zoomScaleNormal="130" workbookViewId="0">
      <selection activeCell="D14" sqref="D14"/>
    </sheetView>
  </sheetViews>
  <sheetFormatPr baseColWidth="10" defaultColWidth="0" defaultRowHeight="0" customHeight="1" zeroHeight="1" x14ac:dyDescent="0.2"/>
  <cols>
    <col min="1" max="3" width="2.7109375" style="1" customWidth="1"/>
    <col min="4" max="4" width="42.7109375" style="4" customWidth="1"/>
    <col min="5" max="9" width="10.7109375" style="23" customWidth="1"/>
    <col min="10" max="10" width="12.7109375" style="23" customWidth="1"/>
    <col min="11" max="11" width="1.28515625" style="1" customWidth="1"/>
    <col min="12" max="12" width="0" style="1" hidden="1" customWidth="1"/>
    <col min="13" max="16384" width="11.42578125" style="1" hidden="1"/>
  </cols>
  <sheetData>
    <row r="1" spans="2:10" ht="15" x14ac:dyDescent="0.2">
      <c r="B1" s="25" t="s">
        <v>10</v>
      </c>
      <c r="C1" s="25"/>
      <c r="D1" s="25"/>
      <c r="E1" s="25"/>
      <c r="F1" s="25"/>
      <c r="G1" s="25"/>
      <c r="H1" s="25"/>
      <c r="I1" s="25"/>
      <c r="J1" s="25"/>
    </row>
    <row r="2" spans="2:10" ht="15" x14ac:dyDescent="0.25">
      <c r="B2" s="26" t="s">
        <v>11</v>
      </c>
      <c r="C2" s="26"/>
      <c r="D2" s="26"/>
      <c r="E2" s="26"/>
      <c r="F2" s="26"/>
      <c r="G2" s="26"/>
      <c r="H2" s="26"/>
      <c r="I2" s="26"/>
      <c r="J2" s="26"/>
    </row>
    <row r="3" spans="2:10" ht="12.95" customHeight="1" x14ac:dyDescent="0.2">
      <c r="B3" s="36" t="s">
        <v>48</v>
      </c>
      <c r="C3" s="37"/>
      <c r="D3" s="37"/>
      <c r="E3" s="37"/>
      <c r="F3" s="37"/>
      <c r="G3" s="37"/>
      <c r="H3" s="37"/>
      <c r="I3" s="37"/>
      <c r="J3" s="38"/>
    </row>
    <row r="4" spans="2:10" ht="12.95" customHeight="1" x14ac:dyDescent="0.2">
      <c r="B4" s="39" t="s">
        <v>3</v>
      </c>
      <c r="C4" s="40"/>
      <c r="D4" s="40"/>
      <c r="E4" s="40"/>
      <c r="F4" s="40"/>
      <c r="G4" s="40"/>
      <c r="H4" s="40"/>
      <c r="I4" s="40"/>
      <c r="J4" s="41"/>
    </row>
    <row r="5" spans="2:10" ht="12.95" customHeight="1" x14ac:dyDescent="0.2">
      <c r="B5" s="39" t="s">
        <v>12</v>
      </c>
      <c r="C5" s="40"/>
      <c r="D5" s="40"/>
      <c r="E5" s="40"/>
      <c r="F5" s="40"/>
      <c r="G5" s="40"/>
      <c r="H5" s="40"/>
      <c r="I5" s="40"/>
      <c r="J5" s="41"/>
    </row>
    <row r="6" spans="2:10" ht="12.95" customHeight="1" x14ac:dyDescent="0.2">
      <c r="B6" s="39" t="s">
        <v>49</v>
      </c>
      <c r="C6" s="40"/>
      <c r="D6" s="40"/>
      <c r="E6" s="40"/>
      <c r="F6" s="40"/>
      <c r="G6" s="40"/>
      <c r="H6" s="40"/>
      <c r="I6" s="40"/>
      <c r="J6" s="41"/>
    </row>
    <row r="7" spans="2:10" ht="12.95" customHeight="1" x14ac:dyDescent="0.2">
      <c r="B7" s="42" t="s">
        <v>47</v>
      </c>
      <c r="C7" s="43"/>
      <c r="D7" s="43"/>
      <c r="E7" s="43"/>
      <c r="F7" s="43"/>
      <c r="G7" s="43"/>
      <c r="H7" s="43"/>
      <c r="I7" s="43"/>
      <c r="J7" s="44"/>
    </row>
    <row r="8" spans="2:10" ht="11.25" customHeight="1" x14ac:dyDescent="0.2">
      <c r="B8" s="45" t="s">
        <v>0</v>
      </c>
      <c r="C8" s="45"/>
      <c r="D8" s="45"/>
      <c r="E8" s="46" t="s">
        <v>4</v>
      </c>
      <c r="F8" s="46"/>
      <c r="G8" s="46"/>
      <c r="H8" s="46"/>
      <c r="I8" s="46"/>
      <c r="J8" s="46" t="s">
        <v>5</v>
      </c>
    </row>
    <row r="9" spans="2:10" ht="19.5" customHeight="1" x14ac:dyDescent="0.2">
      <c r="B9" s="45"/>
      <c r="C9" s="45"/>
      <c r="D9" s="45"/>
      <c r="E9" s="22" t="s">
        <v>6</v>
      </c>
      <c r="F9" s="22" t="s">
        <v>7</v>
      </c>
      <c r="G9" s="22" t="s">
        <v>8</v>
      </c>
      <c r="H9" s="22" t="s">
        <v>1</v>
      </c>
      <c r="I9" s="22" t="s">
        <v>2</v>
      </c>
      <c r="J9" s="46"/>
    </row>
    <row r="10" spans="2:10" ht="6.95" customHeight="1" x14ac:dyDescent="0.2">
      <c r="B10" s="30"/>
      <c r="C10" s="31"/>
      <c r="D10" s="32"/>
      <c r="E10" s="8"/>
      <c r="F10" s="8"/>
      <c r="G10" s="8"/>
      <c r="H10" s="8"/>
      <c r="I10" s="8"/>
      <c r="J10" s="8"/>
    </row>
    <row r="11" spans="2:10" ht="12" customHeight="1" x14ac:dyDescent="0.2">
      <c r="B11" s="33" t="s">
        <v>13</v>
      </c>
      <c r="C11" s="34"/>
      <c r="D11" s="35"/>
      <c r="E11" s="21">
        <f>+E12+E22+E31+E42</f>
        <v>104111606.89999999</v>
      </c>
      <c r="F11" s="21">
        <f t="shared" ref="F11:J11" si="0">+F12+F22+F31+F42</f>
        <v>32462040.799999993</v>
      </c>
      <c r="G11" s="21">
        <f>+E11+F11</f>
        <v>136573647.69999999</v>
      </c>
      <c r="H11" s="21">
        <f t="shared" si="0"/>
        <v>128591052.69999999</v>
      </c>
      <c r="I11" s="21">
        <f t="shared" si="0"/>
        <v>126130392</v>
      </c>
      <c r="J11" s="21">
        <f t="shared" si="0"/>
        <v>7982594.9999999991</v>
      </c>
    </row>
    <row r="12" spans="2:10" ht="12" customHeight="1" x14ac:dyDescent="0.2">
      <c r="B12" s="2"/>
      <c r="C12" s="7" t="s">
        <v>14</v>
      </c>
      <c r="D12" s="3"/>
      <c r="E12" s="18">
        <f>SUM(E13:E20)</f>
        <v>27261084.699999999</v>
      </c>
      <c r="F12" s="18">
        <f>SUM(F13:F20)</f>
        <v>3682321.8999999994</v>
      </c>
      <c r="G12" s="21">
        <f t="shared" ref="G12" si="1">+E12+F12</f>
        <v>30943406.599999998</v>
      </c>
      <c r="H12" s="18">
        <f>SUM(H13:H20)</f>
        <v>30758141.599999998</v>
      </c>
      <c r="I12" s="18">
        <f>SUM(I13:I20)</f>
        <v>30366290.399999999</v>
      </c>
      <c r="J12" s="21">
        <f t="shared" ref="J12:J75" si="2">G12-H12</f>
        <v>185265</v>
      </c>
    </row>
    <row r="13" spans="2:10" ht="12" customHeight="1" x14ac:dyDescent="0.2">
      <c r="B13" s="9"/>
      <c r="C13" s="5"/>
      <c r="D13" s="15" t="s">
        <v>15</v>
      </c>
      <c r="E13" s="17">
        <v>1581251.4</v>
      </c>
      <c r="F13" s="17">
        <v>5793.4</v>
      </c>
      <c r="G13" s="16">
        <f>+E13+F13</f>
        <v>1587044.7999999998</v>
      </c>
      <c r="H13" s="17">
        <v>1586642.6</v>
      </c>
      <c r="I13" s="17">
        <v>1586642.6</v>
      </c>
      <c r="J13" s="16">
        <f t="shared" si="2"/>
        <v>402.1999999997206</v>
      </c>
    </row>
    <row r="14" spans="2:10" ht="12" customHeight="1" x14ac:dyDescent="0.2">
      <c r="B14" s="9"/>
      <c r="C14" s="5"/>
      <c r="D14" s="15" t="s">
        <v>16</v>
      </c>
      <c r="E14" s="17">
        <f>7628712.5+2609.8</f>
        <v>7631322.2999999998</v>
      </c>
      <c r="F14" s="17">
        <f>2329820.5-1294987.8</f>
        <v>1034832.7</v>
      </c>
      <c r="G14" s="16">
        <f t="shared" ref="G14:G20" si="3">+E14+F14</f>
        <v>8666155</v>
      </c>
      <c r="H14" s="17">
        <v>8636225.9000000004</v>
      </c>
      <c r="I14" s="17">
        <v>8552452.0999999996</v>
      </c>
      <c r="J14" s="16">
        <f t="shared" si="2"/>
        <v>29929.099999999627</v>
      </c>
    </row>
    <row r="15" spans="2:10" ht="12" customHeight="1" x14ac:dyDescent="0.2">
      <c r="B15" s="9"/>
      <c r="C15" s="5"/>
      <c r="D15" s="15" t="s">
        <v>17</v>
      </c>
      <c r="E15" s="17">
        <v>3685676.9</v>
      </c>
      <c r="F15" s="17">
        <f>2299941.3-598299.7+25784.8</f>
        <v>1727426.4</v>
      </c>
      <c r="G15" s="16">
        <f t="shared" si="3"/>
        <v>5413103.2999999998</v>
      </c>
      <c r="H15" s="17">
        <v>5329587.5</v>
      </c>
      <c r="I15" s="17">
        <v>5257122.3</v>
      </c>
      <c r="J15" s="16">
        <f t="shared" si="2"/>
        <v>83515.799999999814</v>
      </c>
    </row>
    <row r="16" spans="2:10" ht="12" customHeight="1" x14ac:dyDescent="0.2">
      <c r="B16" s="9"/>
      <c r="C16" s="5"/>
      <c r="D16" s="15" t="s">
        <v>18</v>
      </c>
      <c r="E16" s="17">
        <v>36624.1</v>
      </c>
      <c r="F16" s="17">
        <f>16893.1-10702.2</f>
        <v>6190.8999999999978</v>
      </c>
      <c r="G16" s="16">
        <f t="shared" si="3"/>
        <v>42815</v>
      </c>
      <c r="H16" s="17">
        <v>41123.1</v>
      </c>
      <c r="I16" s="17">
        <v>41111.699999999997</v>
      </c>
      <c r="J16" s="16">
        <f t="shared" si="2"/>
        <v>1691.9000000000015</v>
      </c>
    </row>
    <row r="17" spans="2:10" ht="12" customHeight="1" x14ac:dyDescent="0.2">
      <c r="B17" s="9"/>
      <c r="C17" s="5"/>
      <c r="D17" s="15" t="s">
        <v>19</v>
      </c>
      <c r="E17" s="17">
        <v>5835039.7000000002</v>
      </c>
      <c r="F17" s="17">
        <f>1166289.2-315263.5</f>
        <v>851025.7</v>
      </c>
      <c r="G17" s="16">
        <f t="shared" si="3"/>
        <v>6686065.4000000004</v>
      </c>
      <c r="H17" s="17">
        <v>6644528.7999999998</v>
      </c>
      <c r="I17" s="17">
        <v>6586256.7000000002</v>
      </c>
      <c r="J17" s="16">
        <f t="shared" si="2"/>
        <v>41536.600000000559</v>
      </c>
    </row>
    <row r="18" spans="2:10" ht="12" customHeight="1" x14ac:dyDescent="0.2">
      <c r="B18" s="9"/>
      <c r="C18" s="5"/>
      <c r="D18" s="15" t="s">
        <v>20</v>
      </c>
      <c r="E18" s="17">
        <v>0</v>
      </c>
      <c r="F18" s="17">
        <v>0</v>
      </c>
      <c r="G18" s="16">
        <f t="shared" si="3"/>
        <v>0</v>
      </c>
      <c r="H18" s="17">
        <v>0</v>
      </c>
      <c r="I18" s="17">
        <v>0</v>
      </c>
      <c r="J18" s="16">
        <f t="shared" si="2"/>
        <v>0</v>
      </c>
    </row>
    <row r="19" spans="2:10" ht="12" customHeight="1" x14ac:dyDescent="0.2">
      <c r="B19" s="9"/>
      <c r="C19" s="5"/>
      <c r="D19" s="15" t="s">
        <v>21</v>
      </c>
      <c r="E19" s="17">
        <v>7770273.7000000002</v>
      </c>
      <c r="F19" s="17">
        <f>913677.9-1097923.6</f>
        <v>-184245.70000000007</v>
      </c>
      <c r="G19" s="16">
        <f t="shared" si="3"/>
        <v>7586028</v>
      </c>
      <c r="H19" s="17">
        <v>7562481.2000000002</v>
      </c>
      <c r="I19" s="17">
        <f>7451604.3-1765.1</f>
        <v>7449839.2000000002</v>
      </c>
      <c r="J19" s="16">
        <f t="shared" si="2"/>
        <v>23546.799999999814</v>
      </c>
    </row>
    <row r="20" spans="2:10" ht="12" customHeight="1" x14ac:dyDescent="0.2">
      <c r="B20" s="9"/>
      <c r="C20" s="5"/>
      <c r="D20" s="15" t="s">
        <v>22</v>
      </c>
      <c r="E20" s="17">
        <v>720896.6</v>
      </c>
      <c r="F20" s="17">
        <f>336381.2-95082.7</f>
        <v>241298.5</v>
      </c>
      <c r="G20" s="16">
        <f t="shared" si="3"/>
        <v>962195.1</v>
      </c>
      <c r="H20" s="17">
        <v>957552.5</v>
      </c>
      <c r="I20" s="17">
        <v>892865.8</v>
      </c>
      <c r="J20" s="16">
        <f t="shared" si="2"/>
        <v>4642.5999999999767</v>
      </c>
    </row>
    <row r="21" spans="2:10" ht="6.95" customHeight="1" x14ac:dyDescent="0.2">
      <c r="B21" s="10"/>
      <c r="C21" s="6"/>
      <c r="D21" s="14"/>
      <c r="E21" s="18"/>
      <c r="F21" s="18"/>
      <c r="G21" s="16"/>
      <c r="H21" s="18"/>
      <c r="I21" s="18"/>
      <c r="J21" s="16"/>
    </row>
    <row r="22" spans="2:10" ht="12" customHeight="1" x14ac:dyDescent="0.2">
      <c r="B22" s="2"/>
      <c r="C22" s="7" t="s">
        <v>23</v>
      </c>
      <c r="D22" s="3"/>
      <c r="E22" s="18">
        <f>SUM(E23:E29)</f>
        <v>44412190.600000001</v>
      </c>
      <c r="F22" s="18">
        <f>SUM(F23:F29)</f>
        <v>25302251.499999996</v>
      </c>
      <c r="G22" s="21">
        <f t="shared" ref="G22:G28" si="4">+E22+F22</f>
        <v>69714442.099999994</v>
      </c>
      <c r="H22" s="18">
        <f>SUM(H23:H28)</f>
        <v>66292502.699999996</v>
      </c>
      <c r="I22" s="18">
        <f>SUM(I23:I28)</f>
        <v>64604471.200000003</v>
      </c>
      <c r="J22" s="21">
        <f t="shared" si="2"/>
        <v>3421939.3999999985</v>
      </c>
    </row>
    <row r="23" spans="2:10" ht="12" customHeight="1" x14ac:dyDescent="0.2">
      <c r="B23" s="9"/>
      <c r="C23" s="5"/>
      <c r="D23" s="15" t="s">
        <v>24</v>
      </c>
      <c r="E23" s="17">
        <f>2105250.5+503.8</f>
        <v>2105754.2999999998</v>
      </c>
      <c r="F23" s="17">
        <f>993580-38327.3</f>
        <v>955252.7</v>
      </c>
      <c r="G23" s="16">
        <f t="shared" si="4"/>
        <v>3061007</v>
      </c>
      <c r="H23" s="17">
        <v>3057458</v>
      </c>
      <c r="I23" s="17">
        <v>2906248.1</v>
      </c>
      <c r="J23" s="16">
        <f t="shared" si="2"/>
        <v>3549</v>
      </c>
    </row>
    <row r="24" spans="2:10" ht="12" customHeight="1" x14ac:dyDescent="0.2">
      <c r="B24" s="9"/>
      <c r="C24" s="5"/>
      <c r="D24" s="15" t="s">
        <v>25</v>
      </c>
      <c r="E24" s="17">
        <f>34060597.9+2727488.4-322000-7920418.5-1144734.6+1214828.5+17865.7</f>
        <v>28633627.399999995</v>
      </c>
      <c r="F24" s="17">
        <f>7957654.9-113430.9-111173.6-743016.8+993347.3</f>
        <v>7983380.9000000004</v>
      </c>
      <c r="G24" s="16">
        <f t="shared" si="4"/>
        <v>36617008.299999997</v>
      </c>
      <c r="H24" s="17">
        <f>41867707.8-322000-7920418.5-1144734.6+1000000</f>
        <v>33480554.699999996</v>
      </c>
      <c r="I24" s="17">
        <f>41650906-322000-7920418.5-1144734.6+996055.4-273378.1</f>
        <v>32986430.199999996</v>
      </c>
      <c r="J24" s="16">
        <f t="shared" si="2"/>
        <v>3136453.6000000015</v>
      </c>
    </row>
    <row r="25" spans="2:10" ht="12" customHeight="1" x14ac:dyDescent="0.2">
      <c r="B25" s="9"/>
      <c r="C25" s="5"/>
      <c r="D25" s="15" t="s">
        <v>26</v>
      </c>
      <c r="E25" s="17">
        <f>22380571.7-1010784.6-18552428.8</f>
        <v>2817358.299999997</v>
      </c>
      <c r="F25" s="17">
        <f>15207167.9-12266791.9</f>
        <v>2940376</v>
      </c>
      <c r="G25" s="16">
        <f t="shared" si="4"/>
        <v>5757734.299999997</v>
      </c>
      <c r="H25" s="17">
        <f>25302782.4-1010784.6-18552428.8+11213.2</f>
        <v>5750782.1999999965</v>
      </c>
      <c r="I25" s="17">
        <f>25259188-1010784.6-18552428.8</f>
        <v>5695974.5999999978</v>
      </c>
      <c r="J25" s="16">
        <f t="shared" si="2"/>
        <v>6952.1000000005588</v>
      </c>
    </row>
    <row r="26" spans="2:10" ht="12" customHeight="1" x14ac:dyDescent="0.2">
      <c r="B26" s="9"/>
      <c r="C26" s="5"/>
      <c r="D26" s="15" t="s">
        <v>27</v>
      </c>
      <c r="E26" s="17">
        <f>1302648.6+38672.6</f>
        <v>1341321.2000000002</v>
      </c>
      <c r="F26" s="17">
        <f>1749670.6-268331.6</f>
        <v>1481339</v>
      </c>
      <c r="G26" s="16">
        <f t="shared" si="4"/>
        <v>2822660.2</v>
      </c>
      <c r="H26" s="17">
        <v>2737669.7</v>
      </c>
      <c r="I26" s="17">
        <v>2661373.2000000002</v>
      </c>
      <c r="J26" s="16">
        <f t="shared" si="2"/>
        <v>84990.5</v>
      </c>
    </row>
    <row r="27" spans="2:10" ht="12" customHeight="1" x14ac:dyDescent="0.2">
      <c r="B27" s="9"/>
      <c r="C27" s="5"/>
      <c r="D27" s="15" t="s">
        <v>28</v>
      </c>
      <c r="E27" s="17">
        <f>40050327.2-29811394.4-720094.9-448308.1+5832437.8-10706308.4-0.8</f>
        <v>4196658.400000005</v>
      </c>
      <c r="F27" s="17">
        <f>17505350-11400000-5353041.6+21445007-10738923.8-68763.9</f>
        <v>11389627.699999997</v>
      </c>
      <c r="G27" s="16">
        <f t="shared" si="4"/>
        <v>15586286.100000001</v>
      </c>
      <c r="H27" s="17">
        <f>51897862.4-29811394.4-720094.9-448307.1+5475908.6-13412473.8-3+2460658.6</f>
        <v>15442156.4</v>
      </c>
      <c r="I27" s="17">
        <f>12981497.8-1585486.1+3170972.2</f>
        <v>14566983.900000002</v>
      </c>
      <c r="J27" s="16">
        <f>+G27-H27</f>
        <v>144129.70000000112</v>
      </c>
    </row>
    <row r="28" spans="2:10" ht="12" customHeight="1" x14ac:dyDescent="0.2">
      <c r="B28" s="9"/>
      <c r="C28" s="5"/>
      <c r="D28" s="15" t="s">
        <v>29</v>
      </c>
      <c r="E28" s="17">
        <v>5317471</v>
      </c>
      <c r="F28" s="17">
        <f>582990.8-30715.6</f>
        <v>552275.20000000007</v>
      </c>
      <c r="G28" s="16">
        <f t="shared" si="4"/>
        <v>5869746.2000000002</v>
      </c>
      <c r="H28" s="17">
        <v>5823881.7000000002</v>
      </c>
      <c r="I28" s="17">
        <v>5787461.2000000002</v>
      </c>
      <c r="J28" s="16">
        <f t="shared" si="2"/>
        <v>45864.5</v>
      </c>
    </row>
    <row r="29" spans="2:10" ht="12" customHeight="1" x14ac:dyDescent="0.2">
      <c r="B29" s="9"/>
      <c r="C29" s="5"/>
      <c r="D29" s="15" t="s">
        <v>30</v>
      </c>
      <c r="E29" s="17"/>
      <c r="F29" s="17"/>
      <c r="G29" s="16"/>
      <c r="H29" s="17"/>
      <c r="I29" s="17"/>
      <c r="J29" s="16"/>
    </row>
    <row r="30" spans="2:10" ht="6.95" customHeight="1" x14ac:dyDescent="0.2">
      <c r="B30" s="10"/>
      <c r="C30" s="6"/>
      <c r="D30" s="14"/>
      <c r="E30" s="18"/>
      <c r="F30" s="18"/>
      <c r="G30" s="16"/>
      <c r="H30" s="18"/>
      <c r="I30" s="18"/>
      <c r="J30" s="16"/>
    </row>
    <row r="31" spans="2:10" ht="12" customHeight="1" x14ac:dyDescent="0.2">
      <c r="B31" s="2"/>
      <c r="C31" s="7" t="s">
        <v>31</v>
      </c>
      <c r="D31" s="3"/>
      <c r="E31" s="18">
        <f>SUM(E32:E40)</f>
        <v>5838110.7999999998</v>
      </c>
      <c r="F31" s="18">
        <f t="shared" ref="F31:J31" si="5">SUM(F32:F40)</f>
        <v>2316397.4</v>
      </c>
      <c r="G31" s="21">
        <f t="shared" ref="G31:G40" si="6">+E31+F31</f>
        <v>8154508.1999999993</v>
      </c>
      <c r="H31" s="18">
        <f t="shared" si="5"/>
        <v>7604425.8000000007</v>
      </c>
      <c r="I31" s="18">
        <f t="shared" si="5"/>
        <v>7225528.9999999991</v>
      </c>
      <c r="J31" s="18">
        <f t="shared" si="5"/>
        <v>550082.40000000014</v>
      </c>
    </row>
    <row r="32" spans="2:10" ht="12" customHeight="1" x14ac:dyDescent="0.2">
      <c r="B32" s="9"/>
      <c r="C32" s="5"/>
      <c r="D32" s="15" t="s">
        <v>32</v>
      </c>
      <c r="E32" s="17">
        <v>744845.2</v>
      </c>
      <c r="F32" s="17">
        <f>130125.5-53175.8</f>
        <v>76949.7</v>
      </c>
      <c r="G32" s="16">
        <f t="shared" si="6"/>
        <v>821794.89999999991</v>
      </c>
      <c r="H32" s="17">
        <v>813268</v>
      </c>
      <c r="I32" s="17">
        <v>747590</v>
      </c>
      <c r="J32" s="16">
        <f t="shared" si="2"/>
        <v>8526.8999999999069</v>
      </c>
    </row>
    <row r="33" spans="2:10" ht="12" customHeight="1" x14ac:dyDescent="0.2">
      <c r="B33" s="9"/>
      <c r="C33" s="5"/>
      <c r="D33" s="15" t="s">
        <v>33</v>
      </c>
      <c r="E33" s="17">
        <v>1307196.3</v>
      </c>
      <c r="F33" s="17">
        <f>637330.9-43887.2</f>
        <v>593443.70000000007</v>
      </c>
      <c r="G33" s="16">
        <f t="shared" si="6"/>
        <v>1900640</v>
      </c>
      <c r="H33" s="17">
        <v>1900036.8</v>
      </c>
      <c r="I33" s="17">
        <v>1871190.7</v>
      </c>
      <c r="J33" s="16">
        <f t="shared" si="2"/>
        <v>603.19999999995343</v>
      </c>
    </row>
    <row r="34" spans="2:10" ht="12" customHeight="1" x14ac:dyDescent="0.2">
      <c r="B34" s="9"/>
      <c r="C34" s="5"/>
      <c r="D34" s="15" t="s">
        <v>34</v>
      </c>
      <c r="E34" s="17">
        <v>139087.20000000001</v>
      </c>
      <c r="F34" s="17">
        <f>-91160-5488.1</f>
        <v>-96648.1</v>
      </c>
      <c r="G34" s="16">
        <f t="shared" si="6"/>
        <v>42439.100000000006</v>
      </c>
      <c r="H34" s="17">
        <v>42437.3</v>
      </c>
      <c r="I34" s="17">
        <v>42431.9</v>
      </c>
      <c r="J34" s="16">
        <f t="shared" si="2"/>
        <v>1.8000000000029104</v>
      </c>
    </row>
    <row r="35" spans="2:10" ht="12" customHeight="1" x14ac:dyDescent="0.2">
      <c r="B35" s="9"/>
      <c r="C35" s="5"/>
      <c r="D35" s="15" t="s">
        <v>35</v>
      </c>
      <c r="E35" s="17">
        <v>558468</v>
      </c>
      <c r="F35" s="17">
        <f>-169668.3-35019</f>
        <v>-204687.3</v>
      </c>
      <c r="G35" s="16">
        <f t="shared" si="6"/>
        <v>353780.7</v>
      </c>
      <c r="H35" s="17">
        <v>351932.7</v>
      </c>
      <c r="I35" s="17">
        <v>348618.8</v>
      </c>
      <c r="J35" s="16">
        <f t="shared" si="2"/>
        <v>1848</v>
      </c>
    </row>
    <row r="36" spans="2:10" ht="12" customHeight="1" x14ac:dyDescent="0.2">
      <c r="B36" s="9"/>
      <c r="C36" s="5"/>
      <c r="D36" s="15" t="s">
        <v>36</v>
      </c>
      <c r="E36" s="17">
        <f>3033164.4-909140.9+1193</f>
        <v>2125216.5</v>
      </c>
      <c r="F36" s="17">
        <f>2536663.8-184757.3</f>
        <v>2351906.5</v>
      </c>
      <c r="G36" s="16">
        <f t="shared" si="6"/>
        <v>4477123</v>
      </c>
      <c r="H36" s="17">
        <f>4849361.1-909140.9</f>
        <v>3940220.1999999997</v>
      </c>
      <c r="I36" s="17">
        <f>4621835.1-909140.9+3529.3+0.9</f>
        <v>3716224.3999999994</v>
      </c>
      <c r="J36" s="16">
        <f t="shared" si="2"/>
        <v>536902.80000000028</v>
      </c>
    </row>
    <row r="37" spans="2:10" ht="12" customHeight="1" x14ac:dyDescent="0.2">
      <c r="B37" s="9"/>
      <c r="C37" s="5"/>
      <c r="D37" s="15" t="s">
        <v>37</v>
      </c>
      <c r="E37" s="17">
        <v>4371.7</v>
      </c>
      <c r="F37" s="17">
        <f>901.1-2585.4</f>
        <v>-1684.3000000000002</v>
      </c>
      <c r="G37" s="16">
        <f t="shared" si="6"/>
        <v>2687.3999999999996</v>
      </c>
      <c r="H37" s="17">
        <v>2562.1999999999998</v>
      </c>
      <c r="I37" s="17">
        <v>2562.1999999999998</v>
      </c>
      <c r="J37" s="16">
        <f t="shared" si="2"/>
        <v>125.19999999999982</v>
      </c>
    </row>
    <row r="38" spans="2:10" ht="12" customHeight="1" x14ac:dyDescent="0.2">
      <c r="B38" s="9"/>
      <c r="C38" s="5"/>
      <c r="D38" s="15" t="s">
        <v>38</v>
      </c>
      <c r="E38" s="17">
        <v>216855</v>
      </c>
      <c r="F38" s="17">
        <f>5698.7-30065.4</f>
        <v>-24366.7</v>
      </c>
      <c r="G38" s="16">
        <f t="shared" si="6"/>
        <v>192488.3</v>
      </c>
      <c r="H38" s="17">
        <v>190438.30000000002</v>
      </c>
      <c r="I38" s="17">
        <v>186076.7</v>
      </c>
      <c r="J38" s="16">
        <f t="shared" si="2"/>
        <v>2049.9999999999709</v>
      </c>
    </row>
    <row r="39" spans="2:10" ht="12" customHeight="1" x14ac:dyDescent="0.2">
      <c r="B39" s="9"/>
      <c r="C39" s="5"/>
      <c r="D39" s="15" t="s">
        <v>39</v>
      </c>
      <c r="E39" s="17">
        <v>703646.1</v>
      </c>
      <c r="F39" s="17">
        <f>-321673.5-45660.2</f>
        <v>-367333.7</v>
      </c>
      <c r="G39" s="16">
        <f t="shared" si="6"/>
        <v>336312.39999999997</v>
      </c>
      <c r="H39" s="17">
        <v>336287.9</v>
      </c>
      <c r="I39" s="17">
        <v>283592</v>
      </c>
      <c r="J39" s="16">
        <f t="shared" si="2"/>
        <v>24.499999999941792</v>
      </c>
    </row>
    <row r="40" spans="2:10" ht="12" customHeight="1" x14ac:dyDescent="0.2">
      <c r="B40" s="9"/>
      <c r="C40" s="5"/>
      <c r="D40" s="15" t="s">
        <v>40</v>
      </c>
      <c r="E40" s="17">
        <v>38424.800000000003</v>
      </c>
      <c r="F40" s="17">
        <f>-11182.4</f>
        <v>-11182.4</v>
      </c>
      <c r="G40" s="16">
        <f t="shared" si="6"/>
        <v>27242.400000000001</v>
      </c>
      <c r="H40" s="17">
        <v>27242.399999999998</v>
      </c>
      <c r="I40" s="17">
        <v>27242.3</v>
      </c>
      <c r="J40" s="16">
        <f t="shared" si="2"/>
        <v>0</v>
      </c>
    </row>
    <row r="41" spans="2:10" ht="6.95" customHeight="1" x14ac:dyDescent="0.2">
      <c r="B41" s="10"/>
      <c r="C41" s="6"/>
      <c r="D41" s="14"/>
      <c r="E41" s="18"/>
      <c r="F41" s="18"/>
      <c r="G41" s="16"/>
      <c r="H41" s="18"/>
      <c r="I41" s="18"/>
      <c r="J41" s="16"/>
    </row>
    <row r="42" spans="2:10" ht="12" customHeight="1" x14ac:dyDescent="0.2">
      <c r="B42" s="2"/>
      <c r="C42" s="7" t="s">
        <v>41</v>
      </c>
      <c r="D42" s="3"/>
      <c r="E42" s="18">
        <f>SUM(E43:E46)</f>
        <v>26600220.800000001</v>
      </c>
      <c r="F42" s="18">
        <f t="shared" ref="F42:J42" si="7">SUM(F43:F46)</f>
        <v>1161070</v>
      </c>
      <c r="G42" s="21">
        <f t="shared" ref="G42:G83" si="8">+E42+F42</f>
        <v>27761290.800000001</v>
      </c>
      <c r="H42" s="18">
        <f t="shared" si="7"/>
        <v>23935982.599999998</v>
      </c>
      <c r="I42" s="18">
        <f t="shared" si="7"/>
        <v>23934101.399999999</v>
      </c>
      <c r="J42" s="18">
        <f t="shared" si="7"/>
        <v>3825308.2</v>
      </c>
    </row>
    <row r="43" spans="2:10" ht="12" customHeight="1" x14ac:dyDescent="0.2">
      <c r="B43" s="9"/>
      <c r="C43" s="5"/>
      <c r="D43" s="15" t="s">
        <v>42</v>
      </c>
      <c r="E43" s="17">
        <f>2608580+1000816.9+8073.8+50576.4</f>
        <v>3668047.0999999996</v>
      </c>
      <c r="F43" s="17">
        <v>0</v>
      </c>
      <c r="G43" s="16">
        <f t="shared" si="8"/>
        <v>3668047.0999999996</v>
      </c>
      <c r="H43" s="17">
        <f>91324.6+16088.5+8073.8+50576.4</f>
        <v>166063.30000000002</v>
      </c>
      <c r="I43" s="17">
        <f>91324.6+16088.5+8073.8+50576.4</f>
        <v>166063.30000000002</v>
      </c>
      <c r="J43" s="16">
        <f t="shared" si="2"/>
        <v>3501983.8</v>
      </c>
    </row>
    <row r="44" spans="2:10" ht="17.25" customHeight="1" x14ac:dyDescent="0.2">
      <c r="B44" s="9"/>
      <c r="C44" s="5"/>
      <c r="D44" s="15" t="s">
        <v>43</v>
      </c>
      <c r="E44" s="17">
        <v>20471512.399999999</v>
      </c>
      <c r="F44" s="17">
        <f>1316938.1-155868.1</f>
        <v>1161070</v>
      </c>
      <c r="G44" s="16">
        <f t="shared" si="8"/>
        <v>21632582.399999999</v>
      </c>
      <c r="H44" s="17">
        <v>21309258.599999998</v>
      </c>
      <c r="I44" s="17">
        <v>21307377.399999999</v>
      </c>
      <c r="J44" s="16">
        <f t="shared" si="2"/>
        <v>323323.80000000075</v>
      </c>
    </row>
    <row r="45" spans="2:10" ht="12" customHeight="1" x14ac:dyDescent="0.2">
      <c r="B45" s="9"/>
      <c r="C45" s="5"/>
      <c r="D45" s="15" t="s">
        <v>44</v>
      </c>
      <c r="E45" s="17">
        <v>0</v>
      </c>
      <c r="F45" s="17">
        <v>0</v>
      </c>
      <c r="G45" s="16">
        <f t="shared" si="8"/>
        <v>0</v>
      </c>
      <c r="H45" s="17">
        <v>0</v>
      </c>
      <c r="I45" s="17">
        <v>0</v>
      </c>
      <c r="J45" s="16">
        <f t="shared" si="2"/>
        <v>0</v>
      </c>
    </row>
    <row r="46" spans="2:10" ht="12" customHeight="1" x14ac:dyDescent="0.2">
      <c r="B46" s="9"/>
      <c r="C46" s="5"/>
      <c r="D46" s="15" t="s">
        <v>45</v>
      </c>
      <c r="E46" s="17">
        <v>2460661.2999999998</v>
      </c>
      <c r="F46" s="17">
        <f>322-322</f>
        <v>0</v>
      </c>
      <c r="G46" s="16">
        <f t="shared" si="8"/>
        <v>2460661.2999999998</v>
      </c>
      <c r="H46" s="17">
        <v>2460660.7000000002</v>
      </c>
      <c r="I46" s="17">
        <v>2460660.7000000002</v>
      </c>
      <c r="J46" s="16">
        <f t="shared" si="2"/>
        <v>0.59999999962747097</v>
      </c>
    </row>
    <row r="47" spans="2:10" ht="6.95" customHeight="1" x14ac:dyDescent="0.2">
      <c r="B47" s="10"/>
      <c r="C47" s="6"/>
      <c r="D47" s="14"/>
      <c r="E47" s="18"/>
      <c r="F47" s="18"/>
      <c r="G47" s="16"/>
      <c r="H47" s="18"/>
      <c r="I47" s="18"/>
      <c r="J47" s="16"/>
    </row>
    <row r="48" spans="2:10" ht="12" customHeight="1" x14ac:dyDescent="0.2">
      <c r="B48" s="27" t="s">
        <v>46</v>
      </c>
      <c r="C48" s="28"/>
      <c r="D48" s="29"/>
      <c r="E48" s="18">
        <f>E49+E59+E68+E79</f>
        <v>96430918.599999994</v>
      </c>
      <c r="F48" s="18">
        <f t="shared" ref="F48:J48" si="9">F49+F59+F68+F79</f>
        <v>1219097.8</v>
      </c>
      <c r="G48" s="21">
        <f t="shared" si="8"/>
        <v>97650016.399999991</v>
      </c>
      <c r="H48" s="18">
        <f t="shared" si="9"/>
        <v>97650016.400000006</v>
      </c>
      <c r="I48" s="18">
        <f t="shared" si="9"/>
        <v>97650016.400000006</v>
      </c>
      <c r="J48" s="18">
        <f t="shared" si="9"/>
        <v>0</v>
      </c>
    </row>
    <row r="49" spans="2:11" ht="12" customHeight="1" x14ac:dyDescent="0.2">
      <c r="B49" s="2"/>
      <c r="C49" s="7" t="s">
        <v>14</v>
      </c>
      <c r="D49" s="3"/>
      <c r="E49" s="18">
        <f>SUM(E50:E57)</f>
        <v>2061694.8</v>
      </c>
      <c r="F49" s="18">
        <f t="shared" ref="F49:J49" si="10">SUM(F50:F57)</f>
        <v>971729.8</v>
      </c>
      <c r="G49" s="21">
        <f t="shared" si="8"/>
        <v>3033424.6</v>
      </c>
      <c r="H49" s="18">
        <f t="shared" si="10"/>
        <v>3033424.6</v>
      </c>
      <c r="I49" s="18">
        <f t="shared" si="10"/>
        <v>3033424.6</v>
      </c>
      <c r="J49" s="18">
        <f t="shared" si="10"/>
        <v>0</v>
      </c>
    </row>
    <row r="50" spans="2:11" ht="12" customHeight="1" x14ac:dyDescent="0.2">
      <c r="B50" s="9"/>
      <c r="C50" s="5"/>
      <c r="D50" s="15" t="s">
        <v>15</v>
      </c>
      <c r="E50" s="17">
        <v>0</v>
      </c>
      <c r="F50" s="17">
        <v>0</v>
      </c>
      <c r="G50" s="16">
        <f t="shared" si="8"/>
        <v>0</v>
      </c>
      <c r="H50" s="17">
        <v>0</v>
      </c>
      <c r="I50" s="17">
        <v>0</v>
      </c>
      <c r="J50" s="16">
        <f t="shared" si="2"/>
        <v>0</v>
      </c>
    </row>
    <row r="51" spans="2:11" ht="12" customHeight="1" x14ac:dyDescent="0.2">
      <c r="B51" s="9"/>
      <c r="C51" s="5"/>
      <c r="D51" s="15" t="s">
        <v>16</v>
      </c>
      <c r="E51" s="17">
        <f>9160-2609.8</f>
        <v>6550.2</v>
      </c>
      <c r="F51" s="17">
        <f>13361.4-2534.2+98.5</f>
        <v>10925.7</v>
      </c>
      <c r="G51" s="16">
        <f t="shared" si="8"/>
        <v>17475.900000000001</v>
      </c>
      <c r="H51" s="17">
        <v>17475.900000000001</v>
      </c>
      <c r="I51" s="17">
        <f>+H51</f>
        <v>17475.900000000001</v>
      </c>
      <c r="J51" s="16">
        <f t="shared" si="2"/>
        <v>0</v>
      </c>
      <c r="K51" s="24"/>
    </row>
    <row r="52" spans="2:11" ht="12" customHeight="1" x14ac:dyDescent="0.2">
      <c r="B52" s="9"/>
      <c r="C52" s="5"/>
      <c r="D52" s="15" t="s">
        <v>17</v>
      </c>
      <c r="E52" s="17">
        <f>225.1</f>
        <v>225.1</v>
      </c>
      <c r="F52" s="17">
        <f>64984.6-2212.9-25784.8</f>
        <v>36986.899999999994</v>
      </c>
      <c r="G52" s="16">
        <f t="shared" si="8"/>
        <v>37211.999999999993</v>
      </c>
      <c r="H52" s="17">
        <v>37212</v>
      </c>
      <c r="I52" s="17">
        <f t="shared" ref="I52:I57" si="11">+H52</f>
        <v>37212</v>
      </c>
      <c r="J52" s="16">
        <f t="shared" si="2"/>
        <v>0</v>
      </c>
      <c r="K52" s="24"/>
    </row>
    <row r="53" spans="2:11" ht="12" customHeight="1" x14ac:dyDescent="0.2">
      <c r="B53" s="9"/>
      <c r="C53" s="5"/>
      <c r="D53" s="15" t="s">
        <v>18</v>
      </c>
      <c r="E53" s="17">
        <v>0</v>
      </c>
      <c r="F53" s="17">
        <v>14216.8</v>
      </c>
      <c r="G53" s="16">
        <f t="shared" si="8"/>
        <v>14216.8</v>
      </c>
      <c r="H53" s="17">
        <v>14216.8</v>
      </c>
      <c r="I53" s="17">
        <f t="shared" si="11"/>
        <v>14216.8</v>
      </c>
      <c r="J53" s="16">
        <f t="shared" si="2"/>
        <v>0</v>
      </c>
      <c r="K53" s="24"/>
    </row>
    <row r="54" spans="2:11" ht="12" customHeight="1" x14ac:dyDescent="0.2">
      <c r="B54" s="9"/>
      <c r="C54" s="5"/>
      <c r="D54" s="15" t="s">
        <v>19</v>
      </c>
      <c r="E54" s="17">
        <v>0</v>
      </c>
      <c r="F54" s="17">
        <v>0</v>
      </c>
      <c r="G54" s="16">
        <f t="shared" si="8"/>
        <v>0</v>
      </c>
      <c r="H54" s="17">
        <v>0</v>
      </c>
      <c r="I54" s="17">
        <f t="shared" si="11"/>
        <v>0</v>
      </c>
      <c r="J54" s="17">
        <v>0</v>
      </c>
      <c r="K54" s="24"/>
    </row>
    <row r="55" spans="2:11" ht="12" customHeight="1" x14ac:dyDescent="0.2">
      <c r="B55" s="9"/>
      <c r="C55" s="5"/>
      <c r="D55" s="15" t="s">
        <v>20</v>
      </c>
      <c r="E55" s="17">
        <v>0</v>
      </c>
      <c r="F55" s="17">
        <v>0</v>
      </c>
      <c r="G55" s="16">
        <f t="shared" si="8"/>
        <v>0</v>
      </c>
      <c r="H55" s="17">
        <v>0</v>
      </c>
      <c r="I55" s="17">
        <f t="shared" si="11"/>
        <v>0</v>
      </c>
      <c r="J55" s="17">
        <v>0</v>
      </c>
      <c r="K55" s="24"/>
    </row>
    <row r="56" spans="2:11" ht="12" customHeight="1" x14ac:dyDescent="0.2">
      <c r="B56" s="9"/>
      <c r="C56" s="5"/>
      <c r="D56" s="15" t="s">
        <v>21</v>
      </c>
      <c r="E56" s="17">
        <v>2054919.5</v>
      </c>
      <c r="F56" s="17">
        <f>919086-9485.6</f>
        <v>909600.4</v>
      </c>
      <c r="G56" s="16">
        <f t="shared" si="8"/>
        <v>2964519.9</v>
      </c>
      <c r="H56" s="17">
        <v>2964519.9</v>
      </c>
      <c r="I56" s="17">
        <f t="shared" si="11"/>
        <v>2964519.9</v>
      </c>
      <c r="J56" s="16">
        <f>G56-H56</f>
        <v>0</v>
      </c>
      <c r="K56" s="24"/>
    </row>
    <row r="57" spans="2:11" ht="12" customHeight="1" x14ac:dyDescent="0.2">
      <c r="B57" s="9"/>
      <c r="C57" s="5"/>
      <c r="D57" s="15" t="s">
        <v>22</v>
      </c>
      <c r="E57" s="17">
        <v>0</v>
      </c>
      <c r="F57" s="17">
        <v>0</v>
      </c>
      <c r="G57" s="16">
        <f t="shared" si="8"/>
        <v>0</v>
      </c>
      <c r="H57" s="17">
        <v>0</v>
      </c>
      <c r="I57" s="17">
        <f t="shared" si="11"/>
        <v>0</v>
      </c>
      <c r="J57" s="17">
        <v>0</v>
      </c>
      <c r="K57" s="24"/>
    </row>
    <row r="58" spans="2:11" ht="6.95" customHeight="1" x14ac:dyDescent="0.2">
      <c r="B58" s="10"/>
      <c r="C58" s="6"/>
      <c r="D58" s="14"/>
      <c r="E58" s="18"/>
      <c r="F58" s="18"/>
      <c r="G58" s="16"/>
      <c r="H58" s="18"/>
      <c r="I58" s="18"/>
      <c r="J58" s="16"/>
    </row>
    <row r="59" spans="2:11" ht="12" customHeight="1" x14ac:dyDescent="0.2">
      <c r="B59" s="2"/>
      <c r="C59" s="7" t="s">
        <v>23</v>
      </c>
      <c r="D59" s="3"/>
      <c r="E59" s="18">
        <f>SUM(E60:E66)</f>
        <v>74932698.299999997</v>
      </c>
      <c r="F59" s="18">
        <f t="shared" ref="F59:J59" si="12">SUM(F60:F66)</f>
        <v>115618.80000000016</v>
      </c>
      <c r="G59" s="21">
        <f t="shared" si="8"/>
        <v>75048317.099999994</v>
      </c>
      <c r="H59" s="18">
        <f t="shared" si="12"/>
        <v>75048317.100000009</v>
      </c>
      <c r="I59" s="18">
        <f t="shared" si="12"/>
        <v>75048317.100000009</v>
      </c>
      <c r="J59" s="18">
        <f t="shared" si="12"/>
        <v>0</v>
      </c>
    </row>
    <row r="60" spans="2:11" ht="12" customHeight="1" x14ac:dyDescent="0.2">
      <c r="B60" s="9"/>
      <c r="C60" s="5"/>
      <c r="D60" s="15" t="s">
        <v>24</v>
      </c>
      <c r="E60" s="17">
        <f>866471.7-503.8</f>
        <v>865967.89999999991</v>
      </c>
      <c r="F60" s="17">
        <f>-394165.7-390000-81802.2</f>
        <v>-865967.89999999991</v>
      </c>
      <c r="G60" s="16">
        <f t="shared" si="8"/>
        <v>0</v>
      </c>
      <c r="H60" s="17">
        <v>0</v>
      </c>
      <c r="I60" s="17">
        <f t="shared" ref="I60:I66" si="13">+H60</f>
        <v>0</v>
      </c>
      <c r="J60" s="16">
        <f t="shared" si="2"/>
        <v>0</v>
      </c>
    </row>
    <row r="61" spans="2:11" ht="12" customHeight="1" x14ac:dyDescent="0.2">
      <c r="B61" s="9"/>
      <c r="C61" s="5"/>
      <c r="D61" s="15" t="s">
        <v>25</v>
      </c>
      <c r="E61" s="17">
        <f>936410.9+322000+7920418.5+1144734.6-1214828.5</f>
        <v>9108735.5</v>
      </c>
      <c r="F61" s="17">
        <f>5266038.6+743016.8+390000+81802.2</f>
        <v>6480857.5999999996</v>
      </c>
      <c r="G61" s="16">
        <f t="shared" si="8"/>
        <v>15589593.1</v>
      </c>
      <c r="H61" s="17">
        <f>6202440+322000+7920418.5+1144734.6</f>
        <v>15589593.1</v>
      </c>
      <c r="I61" s="17">
        <f t="shared" si="13"/>
        <v>15589593.1</v>
      </c>
      <c r="J61" s="16">
        <f t="shared" si="2"/>
        <v>0</v>
      </c>
      <c r="K61" s="24"/>
    </row>
    <row r="62" spans="2:11" ht="12" customHeight="1" x14ac:dyDescent="0.2">
      <c r="B62" s="9"/>
      <c r="C62" s="5"/>
      <c r="D62" s="15" t="s">
        <v>26</v>
      </c>
      <c r="E62" s="17">
        <f>1010784.6+18552428.8</f>
        <v>19563213.400000002</v>
      </c>
      <c r="F62" s="17">
        <v>50867.199999999997</v>
      </c>
      <c r="G62" s="16">
        <f t="shared" si="8"/>
        <v>19614080.600000001</v>
      </c>
      <c r="H62" s="17">
        <f>50867.2+1010784.6+18552428.8</f>
        <v>19614080.600000001</v>
      </c>
      <c r="I62" s="17">
        <f t="shared" si="13"/>
        <v>19614080.600000001</v>
      </c>
      <c r="J62" s="16">
        <f t="shared" si="2"/>
        <v>0</v>
      </c>
      <c r="K62" s="24"/>
    </row>
    <row r="63" spans="2:11" ht="12" customHeight="1" x14ac:dyDescent="0.2">
      <c r="B63" s="9"/>
      <c r="C63" s="5"/>
      <c r="D63" s="15" t="s">
        <v>27</v>
      </c>
      <c r="E63" s="17">
        <f>918293.7-38672.6</f>
        <v>879621.1</v>
      </c>
      <c r="F63" s="17">
        <f>-390463.3-3885.8</f>
        <v>-394349.1</v>
      </c>
      <c r="G63" s="16">
        <f t="shared" si="8"/>
        <v>485272</v>
      </c>
      <c r="H63" s="17">
        <v>485272</v>
      </c>
      <c r="I63" s="17">
        <f t="shared" si="13"/>
        <v>485272</v>
      </c>
      <c r="J63" s="16">
        <f t="shared" si="2"/>
        <v>0</v>
      </c>
      <c r="K63" s="24"/>
    </row>
    <row r="64" spans="2:11" ht="12" customHeight="1" x14ac:dyDescent="0.2">
      <c r="B64" s="9"/>
      <c r="C64" s="5"/>
      <c r="D64" s="15" t="s">
        <v>28</v>
      </c>
      <c r="E64" s="17">
        <f>8551339.1+29811394.4+720094.9+448308.1-5832437.8+10706308.4</f>
        <v>44405007.100000001</v>
      </c>
      <c r="F64" s="17">
        <f>-821067.9-5353041.6+68763.9</f>
        <v>-6105345.5999999996</v>
      </c>
      <c r="G64" s="16">
        <f t="shared" si="8"/>
        <v>38299661.5</v>
      </c>
      <c r="H64" s="17">
        <f>1843956.5+29811394.4+720094.9+448308.1-1+5475908.6</f>
        <v>38299661.5</v>
      </c>
      <c r="I64" s="17">
        <f t="shared" si="13"/>
        <v>38299661.5</v>
      </c>
      <c r="J64" s="16">
        <f>+G64-H64</f>
        <v>0</v>
      </c>
      <c r="K64" s="24"/>
    </row>
    <row r="65" spans="2:11" ht="12" customHeight="1" x14ac:dyDescent="0.2">
      <c r="B65" s="9"/>
      <c r="C65" s="5"/>
      <c r="D65" s="15" t="s">
        <v>29</v>
      </c>
      <c r="E65" s="17">
        <v>110153.3</v>
      </c>
      <c r="F65" s="17">
        <v>949556.6</v>
      </c>
      <c r="G65" s="16">
        <f t="shared" si="8"/>
        <v>1059709.8999999999</v>
      </c>
      <c r="H65" s="17">
        <v>1059709.8999999999</v>
      </c>
      <c r="I65" s="17">
        <f t="shared" si="13"/>
        <v>1059709.8999999999</v>
      </c>
      <c r="J65" s="16">
        <f t="shared" si="2"/>
        <v>0</v>
      </c>
      <c r="K65" s="24"/>
    </row>
    <row r="66" spans="2:11" ht="12" customHeight="1" x14ac:dyDescent="0.2">
      <c r="B66" s="9"/>
      <c r="C66" s="5"/>
      <c r="D66" s="15" t="s">
        <v>30</v>
      </c>
      <c r="E66" s="17">
        <v>0</v>
      </c>
      <c r="F66" s="17">
        <v>0</v>
      </c>
      <c r="G66" s="16">
        <v>0</v>
      </c>
      <c r="H66" s="17">
        <v>0</v>
      </c>
      <c r="I66" s="17">
        <f t="shared" si="13"/>
        <v>0</v>
      </c>
      <c r="J66" s="16">
        <f t="shared" si="2"/>
        <v>0</v>
      </c>
      <c r="K66" s="24"/>
    </row>
    <row r="67" spans="2:11" ht="6.95" customHeight="1" x14ac:dyDescent="0.2">
      <c r="B67" s="10"/>
      <c r="C67" s="6"/>
      <c r="D67" s="14"/>
      <c r="E67" s="18"/>
      <c r="F67" s="18"/>
      <c r="G67" s="16"/>
      <c r="H67" s="18"/>
      <c r="I67" s="18"/>
      <c r="J67" s="16"/>
    </row>
    <row r="68" spans="2:11" ht="12" customHeight="1" x14ac:dyDescent="0.2">
      <c r="B68" s="2"/>
      <c r="C68" s="7" t="s">
        <v>31</v>
      </c>
      <c r="D68" s="3"/>
      <c r="E68" s="18">
        <f>SUM(E69:E77)</f>
        <v>3609373.3</v>
      </c>
      <c r="F68" s="18">
        <f t="shared" ref="F68:J68" si="14">SUM(F69:F77)</f>
        <v>124841.90000000002</v>
      </c>
      <c r="G68" s="21">
        <f t="shared" si="8"/>
        <v>3734215.1999999997</v>
      </c>
      <c r="H68" s="18">
        <f t="shared" si="14"/>
        <v>3734215.1999999997</v>
      </c>
      <c r="I68" s="18">
        <f t="shared" si="14"/>
        <v>3734215.1999999997</v>
      </c>
      <c r="J68" s="18">
        <f t="shared" si="14"/>
        <v>0</v>
      </c>
    </row>
    <row r="69" spans="2:11" ht="12" customHeight="1" x14ac:dyDescent="0.2">
      <c r="B69" s="9"/>
      <c r="C69" s="5"/>
      <c r="D69" s="15" t="s">
        <v>32</v>
      </c>
      <c r="E69" s="17">
        <v>0</v>
      </c>
      <c r="F69" s="17">
        <v>0</v>
      </c>
      <c r="G69" s="16">
        <f t="shared" si="8"/>
        <v>0</v>
      </c>
      <c r="H69" s="17">
        <v>0</v>
      </c>
      <c r="I69" s="17">
        <v>0</v>
      </c>
      <c r="J69" s="16">
        <f t="shared" si="2"/>
        <v>0</v>
      </c>
      <c r="K69" s="24"/>
    </row>
    <row r="70" spans="2:11" ht="12" customHeight="1" x14ac:dyDescent="0.2">
      <c r="B70" s="9"/>
      <c r="C70" s="5"/>
      <c r="D70" s="15" t="s">
        <v>33</v>
      </c>
      <c r="E70" s="17">
        <v>329061.2</v>
      </c>
      <c r="F70" s="17">
        <v>224599.3</v>
      </c>
      <c r="G70" s="16">
        <f t="shared" si="8"/>
        <v>553660.5</v>
      </c>
      <c r="H70" s="17">
        <v>553660.5</v>
      </c>
      <c r="I70" s="17">
        <f t="shared" ref="I70:I76" si="15">+H70</f>
        <v>553660.5</v>
      </c>
      <c r="J70" s="16">
        <f t="shared" si="2"/>
        <v>0</v>
      </c>
      <c r="K70" s="24"/>
    </row>
    <row r="71" spans="2:11" ht="12" customHeight="1" x14ac:dyDescent="0.2">
      <c r="B71" s="9"/>
      <c r="C71" s="5"/>
      <c r="D71" s="15" t="s">
        <v>34</v>
      </c>
      <c r="E71" s="17">
        <v>47000</v>
      </c>
      <c r="F71" s="17">
        <v>-9027.2999999999993</v>
      </c>
      <c r="G71" s="16">
        <f t="shared" si="8"/>
        <v>37972.699999999997</v>
      </c>
      <c r="H71" s="17">
        <v>37972.699999999997</v>
      </c>
      <c r="I71" s="17">
        <f t="shared" si="15"/>
        <v>37972.699999999997</v>
      </c>
      <c r="J71" s="16">
        <f t="shared" si="2"/>
        <v>0</v>
      </c>
      <c r="K71" s="24"/>
    </row>
    <row r="72" spans="2:11" ht="12" customHeight="1" x14ac:dyDescent="0.2">
      <c r="B72" s="9"/>
      <c r="C72" s="5"/>
      <c r="D72" s="15" t="s">
        <v>35</v>
      </c>
      <c r="E72" s="17">
        <v>0</v>
      </c>
      <c r="F72" s="17">
        <v>80525.399999999994</v>
      </c>
      <c r="G72" s="16">
        <f t="shared" si="8"/>
        <v>80525.399999999994</v>
      </c>
      <c r="H72" s="17">
        <v>80525.399999999994</v>
      </c>
      <c r="I72" s="17">
        <f t="shared" si="15"/>
        <v>80525.399999999994</v>
      </c>
      <c r="J72" s="16">
        <f t="shared" si="2"/>
        <v>0</v>
      </c>
      <c r="K72" s="24"/>
    </row>
    <row r="73" spans="2:11" ht="12" customHeight="1" x14ac:dyDescent="0.2">
      <c r="B73" s="9"/>
      <c r="C73" s="5"/>
      <c r="D73" s="15" t="s">
        <v>36</v>
      </c>
      <c r="E73" s="17">
        <v>2298579.9</v>
      </c>
      <c r="F73" s="17">
        <v>-286645.5</v>
      </c>
      <c r="G73" s="16">
        <f t="shared" si="8"/>
        <v>2011934.4</v>
      </c>
      <c r="H73" s="17">
        <v>2011934.4</v>
      </c>
      <c r="I73" s="17">
        <f t="shared" si="15"/>
        <v>2011934.4</v>
      </c>
      <c r="J73" s="16">
        <f t="shared" si="2"/>
        <v>0</v>
      </c>
      <c r="K73" s="24"/>
    </row>
    <row r="74" spans="2:11" ht="12" customHeight="1" x14ac:dyDescent="0.2">
      <c r="B74" s="9"/>
      <c r="C74" s="5"/>
      <c r="D74" s="15" t="s">
        <v>37</v>
      </c>
      <c r="E74" s="17">
        <v>909140.9</v>
      </c>
      <c r="F74" s="17">
        <v>0</v>
      </c>
      <c r="G74" s="16">
        <f t="shared" si="8"/>
        <v>909140.9</v>
      </c>
      <c r="H74" s="17">
        <v>909140.9</v>
      </c>
      <c r="I74" s="17">
        <f t="shared" si="15"/>
        <v>909140.9</v>
      </c>
      <c r="J74" s="16">
        <f t="shared" si="2"/>
        <v>0</v>
      </c>
      <c r="K74" s="24"/>
    </row>
    <row r="75" spans="2:11" ht="12" customHeight="1" x14ac:dyDescent="0.2">
      <c r="B75" s="9"/>
      <c r="C75" s="5"/>
      <c r="D75" s="15" t="s">
        <v>38</v>
      </c>
      <c r="E75" s="17">
        <v>25591.3</v>
      </c>
      <c r="F75" s="17">
        <v>115390</v>
      </c>
      <c r="G75" s="16">
        <f t="shared" si="8"/>
        <v>140981.29999999999</v>
      </c>
      <c r="H75" s="17">
        <v>140981.29999999999</v>
      </c>
      <c r="I75" s="17">
        <f t="shared" si="15"/>
        <v>140981.29999999999</v>
      </c>
      <c r="J75" s="16">
        <f t="shared" si="2"/>
        <v>0</v>
      </c>
      <c r="K75" s="24"/>
    </row>
    <row r="76" spans="2:11" ht="12" customHeight="1" x14ac:dyDescent="0.2">
      <c r="B76" s="9"/>
      <c r="C76" s="5"/>
      <c r="D76" s="15" t="s">
        <v>39</v>
      </c>
      <c r="E76" s="17">
        <v>0</v>
      </c>
      <c r="F76" s="17">
        <v>0</v>
      </c>
      <c r="G76" s="16">
        <f t="shared" si="8"/>
        <v>0</v>
      </c>
      <c r="H76" s="17">
        <v>0</v>
      </c>
      <c r="I76" s="17">
        <f t="shared" si="15"/>
        <v>0</v>
      </c>
      <c r="J76" s="16">
        <f t="shared" ref="J76:J83" si="16">G76-H76</f>
        <v>0</v>
      </c>
      <c r="K76" s="24"/>
    </row>
    <row r="77" spans="2:11" ht="12" customHeight="1" x14ac:dyDescent="0.2">
      <c r="B77" s="9"/>
      <c r="C77" s="5"/>
      <c r="D77" s="15" t="s">
        <v>40</v>
      </c>
      <c r="E77" s="17">
        <v>0</v>
      </c>
      <c r="F77" s="17">
        <v>0</v>
      </c>
      <c r="G77" s="16">
        <f t="shared" si="8"/>
        <v>0</v>
      </c>
      <c r="H77" s="17">
        <v>0</v>
      </c>
      <c r="I77" s="17">
        <v>0</v>
      </c>
      <c r="J77" s="16">
        <f t="shared" si="16"/>
        <v>0</v>
      </c>
      <c r="K77" s="24"/>
    </row>
    <row r="78" spans="2:11" ht="6.95" customHeight="1" x14ac:dyDescent="0.2">
      <c r="B78" s="10"/>
      <c r="C78" s="6"/>
      <c r="D78" s="14"/>
      <c r="E78" s="18"/>
      <c r="F78" s="18"/>
      <c r="G78" s="16"/>
      <c r="H78" s="18"/>
      <c r="I78" s="18"/>
      <c r="J78" s="16"/>
    </row>
    <row r="79" spans="2:11" ht="12" customHeight="1" x14ac:dyDescent="0.2">
      <c r="B79" s="2"/>
      <c r="C79" s="7" t="s">
        <v>41</v>
      </c>
      <c r="D79" s="3"/>
      <c r="E79" s="18">
        <f>SUM(E80:E83)</f>
        <v>15827152.200000001</v>
      </c>
      <c r="F79" s="18">
        <f t="shared" ref="F79:J79" si="17">SUM(F80:F83)</f>
        <v>6907.3</v>
      </c>
      <c r="G79" s="21">
        <f t="shared" si="8"/>
        <v>15834059.500000002</v>
      </c>
      <c r="H79" s="18">
        <f t="shared" si="17"/>
        <v>15834059.5</v>
      </c>
      <c r="I79" s="18">
        <f t="shared" si="17"/>
        <v>15834059.5</v>
      </c>
      <c r="J79" s="18">
        <f t="shared" si="17"/>
        <v>0</v>
      </c>
    </row>
    <row r="80" spans="2:11" ht="12" customHeight="1" x14ac:dyDescent="0.2">
      <c r="B80" s="9"/>
      <c r="C80" s="5"/>
      <c r="D80" s="15" t="s">
        <v>42</v>
      </c>
      <c r="E80" s="17">
        <f>789420+2214530.3+640002.6</f>
        <v>3643952.9</v>
      </c>
      <c r="F80" s="17">
        <v>0</v>
      </c>
      <c r="G80" s="16">
        <f t="shared" si="8"/>
        <v>3643952.9</v>
      </c>
      <c r="H80" s="17">
        <f>4788687.5-1144734.6</f>
        <v>3643952.9</v>
      </c>
      <c r="I80" s="17">
        <f t="shared" ref="I80:I83" si="18">+H80</f>
        <v>3643952.9</v>
      </c>
      <c r="J80" s="16">
        <f>+G80-H80</f>
        <v>0</v>
      </c>
      <c r="K80" s="24"/>
    </row>
    <row r="81" spans="2:11" ht="15.75" customHeight="1" x14ac:dyDescent="0.2">
      <c r="B81" s="9"/>
      <c r="C81" s="5"/>
      <c r="D81" s="15" t="s">
        <v>43</v>
      </c>
      <c r="E81" s="17">
        <v>0</v>
      </c>
      <c r="F81" s="17">
        <v>0</v>
      </c>
      <c r="G81" s="16">
        <f t="shared" si="8"/>
        <v>0</v>
      </c>
      <c r="H81" s="17">
        <v>0</v>
      </c>
      <c r="I81" s="17">
        <f t="shared" si="18"/>
        <v>0</v>
      </c>
      <c r="J81" s="16">
        <f t="shared" si="16"/>
        <v>0</v>
      </c>
      <c r="K81" s="24"/>
    </row>
    <row r="82" spans="2:11" ht="12" customHeight="1" x14ac:dyDescent="0.2">
      <c r="B82" s="9"/>
      <c r="C82" s="5"/>
      <c r="D82" s="15" t="s">
        <v>44</v>
      </c>
      <c r="E82" s="17">
        <f>12184392.3-1193</f>
        <v>12183199.300000001</v>
      </c>
      <c r="F82" s="17">
        <v>6907.3</v>
      </c>
      <c r="G82" s="16">
        <f t="shared" si="8"/>
        <v>12190106.600000001</v>
      </c>
      <c r="H82" s="17">
        <v>12190106.6</v>
      </c>
      <c r="I82" s="17">
        <f t="shared" si="18"/>
        <v>12190106.6</v>
      </c>
      <c r="J82" s="16">
        <f t="shared" si="16"/>
        <v>0</v>
      </c>
      <c r="K82" s="24"/>
    </row>
    <row r="83" spans="2:11" ht="12" customHeight="1" x14ac:dyDescent="0.2">
      <c r="B83" s="9"/>
      <c r="C83" s="5"/>
      <c r="D83" s="15" t="s">
        <v>45</v>
      </c>
      <c r="E83" s="17">
        <v>0</v>
      </c>
      <c r="F83" s="17">
        <v>0</v>
      </c>
      <c r="G83" s="16">
        <f t="shared" si="8"/>
        <v>0</v>
      </c>
      <c r="H83" s="17">
        <v>0</v>
      </c>
      <c r="I83" s="17">
        <f t="shared" si="18"/>
        <v>0</v>
      </c>
      <c r="J83" s="16">
        <f t="shared" si="16"/>
        <v>0</v>
      </c>
      <c r="K83" s="24"/>
    </row>
    <row r="84" spans="2:11" ht="6.95" customHeight="1" x14ac:dyDescent="0.2">
      <c r="B84" s="10"/>
      <c r="C84" s="6"/>
      <c r="D84" s="14"/>
      <c r="E84" s="18"/>
      <c r="F84" s="18"/>
      <c r="G84" s="16"/>
      <c r="H84" s="18"/>
      <c r="I84" s="18"/>
      <c r="J84" s="16"/>
    </row>
    <row r="85" spans="2:11" ht="12" customHeight="1" x14ac:dyDescent="0.2">
      <c r="B85" s="27" t="s">
        <v>9</v>
      </c>
      <c r="C85" s="28"/>
      <c r="D85" s="29"/>
      <c r="E85" s="18">
        <f>E11+E48</f>
        <v>200542525.5</v>
      </c>
      <c r="F85" s="18">
        <f t="shared" ref="F85:J85" si="19">F11+F48</f>
        <v>33681138.599999994</v>
      </c>
      <c r="G85" s="21">
        <f>+G11+G48</f>
        <v>234223664.09999996</v>
      </c>
      <c r="H85" s="18">
        <f t="shared" si="19"/>
        <v>226241069.09999999</v>
      </c>
      <c r="I85" s="18">
        <f t="shared" si="19"/>
        <v>223780408.40000001</v>
      </c>
      <c r="J85" s="18">
        <f t="shared" si="19"/>
        <v>7982594.9999999991</v>
      </c>
    </row>
    <row r="86" spans="2:11" ht="6.95" customHeight="1" x14ac:dyDescent="0.2">
      <c r="B86" s="11"/>
      <c r="C86" s="12"/>
      <c r="D86" s="13"/>
      <c r="E86" s="19"/>
      <c r="F86" s="19"/>
      <c r="G86" s="19"/>
      <c r="H86" s="19"/>
      <c r="I86" s="19"/>
      <c r="J86" s="20"/>
    </row>
    <row r="87" spans="2:11" ht="12" customHeight="1" x14ac:dyDescent="0.2"/>
  </sheetData>
  <mergeCells count="14"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  <mergeCell ref="E8:I8"/>
    <mergeCell ref="J8:J9"/>
  </mergeCells>
  <printOptions horizontalCentered="1"/>
  <pageMargins left="0.39370078740157483" right="0.39370078740157483" top="0.59055118110236227" bottom="0.39370078740157483" header="0.31496062992125984" footer="0.31496062992125984"/>
  <pageSetup scale="74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Carol</cp:lastModifiedBy>
  <cp:revision/>
  <cp:lastPrinted>2017-05-03T17:35:32Z</cp:lastPrinted>
  <dcterms:created xsi:type="dcterms:W3CDTF">2016-10-11T17:36:10Z</dcterms:created>
  <dcterms:modified xsi:type="dcterms:W3CDTF">2017-05-03T17:36:09Z</dcterms:modified>
</cp:coreProperties>
</file>