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580" activeTab="0"/>
  </bookViews>
  <sheets>
    <sheet name="Resumen" sheetId="1" r:id="rId1"/>
    <sheet name="Detalle" sheetId="2" state="hidden" r:id="rId2"/>
  </sheets>
  <definedNames>
    <definedName name="_xlnm.Print_Area" localSheetId="1">'Detalle'!$B$1:$S$167</definedName>
    <definedName name="_xlnm.Print_Area" localSheetId="0">'Resumen'!$B$1:$BA$39</definedName>
    <definedName name="_xlnm.Print_Titles" localSheetId="1">'Detalle'!$1:$8</definedName>
  </definedNames>
  <calcPr fullCalcOnLoad="1"/>
</workbook>
</file>

<file path=xl/sharedStrings.xml><?xml version="1.0" encoding="utf-8"?>
<sst xmlns="http://schemas.openxmlformats.org/spreadsheetml/2006/main" count="252" uniqueCount="170">
  <si>
    <t>Por Dependencia y Organismo</t>
  </si>
  <si>
    <t>Sujeto Obligado</t>
  </si>
  <si>
    <t>Total</t>
  </si>
  <si>
    <t>S.central</t>
  </si>
  <si>
    <t>Organismos</t>
  </si>
  <si>
    <t>Gubernatura</t>
  </si>
  <si>
    <t>Secretaría Técnica del Gabinete</t>
  </si>
  <si>
    <t>Secretaría General de Gobierno </t>
  </si>
  <si>
    <t>Secretaría de Finanzas</t>
  </si>
  <si>
    <t>Secretaría del Trabajo</t>
  </si>
  <si>
    <t>Secretaría de Educación</t>
  </si>
  <si>
    <t>Secretaría de Agua y Obra Pública</t>
  </si>
  <si>
    <t>Secretaría de Desarrollo Agropecuario </t>
  </si>
  <si>
    <t>Secretaría de Desarrollo Económico</t>
  </si>
  <si>
    <t>Secretaría de la Contraloría   </t>
  </si>
  <si>
    <t>Secretaría de Comunicaciones</t>
  </si>
  <si>
    <t>Secretaría del Medio Ambiente</t>
  </si>
  <si>
    <t>Secretaría de Desarrollo Social</t>
  </si>
  <si>
    <t>Secretaría de Desarrollo Metropolitano</t>
  </si>
  <si>
    <t>Secretaría de Salud</t>
  </si>
  <si>
    <t>Secretaría de Transporte/ Movilidad</t>
  </si>
  <si>
    <t>Secretaría de Turismo</t>
  </si>
  <si>
    <t>Procuraduría General de Justicia</t>
  </si>
  <si>
    <t>Tribunal de lo Contencioso Administrativo</t>
  </si>
  <si>
    <t>Consejería Jurídica del Ejecutivo Estatal</t>
  </si>
  <si>
    <t xml:space="preserve">Inspección General de las Instituciones de Seguridad Pública </t>
  </si>
  <si>
    <t>Sistema para el Desarrollo Integral de la Familia del Estado de México</t>
  </si>
  <si>
    <t>Coordinación General de Comunicación Social</t>
  </si>
  <si>
    <t>Total Gubernatura</t>
  </si>
  <si>
    <t>Total Secretaría Técnica del Gabinete</t>
  </si>
  <si>
    <t>Comisión Estatal de Seguridad Ciudadana del Estado de México</t>
  </si>
  <si>
    <t>Centro de Control de Confianza del Estado de México  </t>
  </si>
  <si>
    <t>Instituto Mexiquense de la Pirotecnia</t>
  </si>
  <si>
    <t>Total Secretaría General de Gobierno </t>
  </si>
  <si>
    <t>Instituto Hacendario del Estado de México</t>
  </si>
  <si>
    <t>Instituto de Seguridad Social del Estado de México y Municipios</t>
  </si>
  <si>
    <t>Consejo Mexiquense de Ciencia y Tecnología</t>
  </si>
  <si>
    <t>Total Secretaría de Finanzas</t>
  </si>
  <si>
    <t>Instituto de Capacitación y Adiestramiento para el Trabajo Industrial </t>
  </si>
  <si>
    <t>Junta Local de Conciliación y Arbitraje Valle de Toluca</t>
  </si>
  <si>
    <t>Tribunal Estatal de Conciliación y Arbitraje</t>
  </si>
  <si>
    <t>Junta Local de Conciliación y Arbitraje Valle Cuautitlán-Texcoco</t>
  </si>
  <si>
    <t>Total Secretaría del Trabajo</t>
  </si>
  <si>
    <t>Instituto Mexiquense de Cultura</t>
  </si>
  <si>
    <t>Tecnológico de Estudios Superiores de Ixtapaluca</t>
  </si>
  <si>
    <t>Tecnológico de Estudios Superiores de Villa Guerrero</t>
  </si>
  <si>
    <t>Tecnológico de Estudios Superiores de San Felipe del Progreso</t>
  </si>
  <si>
    <t>Tecnológico de Estudios Superiores de Chimalhuacán</t>
  </si>
  <si>
    <t>Universidad Estatal del Valle de Ecatepec</t>
  </si>
  <si>
    <t>Universidad Tecnológica del Valle de Toluca</t>
  </si>
  <si>
    <t>Instituto Mexiquense de Cultura Física Y Deporte</t>
  </si>
  <si>
    <t>Universidad Intercultural del Estado de México</t>
  </si>
  <si>
    <t>Universidad Politécnica del Valle de México</t>
  </si>
  <si>
    <t>Universidad Politécnica del Valle de Toluca</t>
  </si>
  <si>
    <t>Universidad Digital del Estado de México</t>
  </si>
  <si>
    <t>Servicios Educativos Integrados al Estado de México</t>
  </si>
  <si>
    <t>Universidad Politécnica de Tecámac</t>
  </si>
  <si>
    <t>Tecnológico de Estudios Superiores de Ecatepec</t>
  </si>
  <si>
    <t>Universidad Tecnológica de Nezahualcóyotl</t>
  </si>
  <si>
    <t>Colegio de Estudios Científicos y Tecnológicos</t>
  </si>
  <si>
    <t>Universidad Tecnológica Fidel Velázquez</t>
  </si>
  <si>
    <t>Universidad Tecnológica de Tecámac</t>
  </si>
  <si>
    <t>Tecnológico de Estudios Superiores de Coacalco</t>
  </si>
  <si>
    <t>Universidad Tecnológica del Sur del Estado de México</t>
  </si>
  <si>
    <t>Tecnológico de Estudios Superiores de Cuautitlán Izcalli</t>
  </si>
  <si>
    <t>Tecnológico de Estudios Superiores del Oriente del Estado de México</t>
  </si>
  <si>
    <t>Tecnológico de Estudios Superiores de Huixquilucan</t>
  </si>
  <si>
    <t>Tecnológico de Estudios Superiores de Jilotepec</t>
  </si>
  <si>
    <t>Tecnológico de Estudios Superiores de Tianguistenco</t>
  </si>
  <si>
    <t>Instituto Mexiquense de la Infraestructura Física Educativa</t>
  </si>
  <si>
    <t>Tecnológico de Estudios Superiores de Chalco</t>
  </si>
  <si>
    <t>Tecnológico de Estudios Superiores de Jocotitlán</t>
  </si>
  <si>
    <t>Colegio de Educación Profesional Técnica</t>
  </si>
  <si>
    <t>Tecnológico de Estudios Superiores de Valle de Bravo </t>
  </si>
  <si>
    <t>Universidad Estatal del Valle de Toluca</t>
  </si>
  <si>
    <t>Universidad Mexiquense del Bicentenario</t>
  </si>
  <si>
    <t>Universidad Politécnica de Texcoco</t>
  </si>
  <si>
    <t>Total Secretaría de Educación</t>
  </si>
  <si>
    <t>Comisión del Agua del Estado de México</t>
  </si>
  <si>
    <t>Total Secretaría de Agua y Obra Pública</t>
  </si>
  <si>
    <t>Instituto de Investigación y Capacitación Agropecuaria, Acuícola y Forestal del Estado de México</t>
  </si>
  <si>
    <t>Total Secretaría de Desarrollo Agropecuario </t>
  </si>
  <si>
    <t xml:space="preserve">Instituto de Fomento Minero y Estudios Geológicos </t>
  </si>
  <si>
    <t>Instituto Mexiquense del Emprendedor</t>
  </si>
  <si>
    <t>Total Secretaría de Desarrollo Económico</t>
  </si>
  <si>
    <t>Total Secretaría de la Contraloría   </t>
  </si>
  <si>
    <t>Junta de Caminos del Estado de México</t>
  </si>
  <si>
    <t>Total Secretaría de Comunicaciones</t>
  </si>
  <si>
    <t>Comisión Estatal de Parques Naturales y de la Fauna</t>
  </si>
  <si>
    <t>Reciclagua Ambiental S.A de C.V</t>
  </si>
  <si>
    <t>Procuraduría de Protección al Ambiente del Estado de México</t>
  </si>
  <si>
    <t>Protectora de Bosques del Estado de México</t>
  </si>
  <si>
    <t>Total Secretaría del Medio Ambiente</t>
  </si>
  <si>
    <t xml:space="preserve">Consejo Estatal para el Desarrollo Integral de los Pueblos Indígenas </t>
  </si>
  <si>
    <t>Instituto Mexiquense de la Juventud</t>
  </si>
  <si>
    <t>Consejo Estatal de La Mujer y Bienestar Social</t>
  </si>
  <si>
    <t>Consejo de Investigación y Evaluación de la Política Social</t>
  </si>
  <si>
    <t>Total Secretaría de Desarrollo Social</t>
  </si>
  <si>
    <t>Total Secretaría de Desarrollo Metropolitano</t>
  </si>
  <si>
    <t>Instituto de Salud del Estado de México</t>
  </si>
  <si>
    <t xml:space="preserve">Comisión de Conciliación y Arbitraje Médico </t>
  </si>
  <si>
    <t xml:space="preserve">Instituto Materno Infantil </t>
  </si>
  <si>
    <t>Hospital Regional de Alta Especialidad de Zumpango</t>
  </si>
  <si>
    <t>Banco de Tejidos del Estado de México</t>
  </si>
  <si>
    <t>Total Secretaría de Salud</t>
  </si>
  <si>
    <t>Instituto Mexiquense de la Vivienda Social</t>
  </si>
  <si>
    <t>Instituto de Investigación y Fomento de las Artesanías del Estado de México</t>
  </si>
  <si>
    <t>Comisión para el Desarrollo Turístico del Valle de Teotihuacán</t>
  </si>
  <si>
    <t>Total Secretaría de Turismo</t>
  </si>
  <si>
    <t>Total Procuraduría General de Justicia</t>
  </si>
  <si>
    <t>Total Tribunal de lo Contencioso Administrativo</t>
  </si>
  <si>
    <t>Instituto de la Función Registral del Estado de México</t>
  </si>
  <si>
    <t>Total Consejería Jurídica del Ejecutivo Estatal</t>
  </si>
  <si>
    <t>Universidad Politécnica de Cuautitlán Izcalli</t>
  </si>
  <si>
    <t>Universidad Politécnica de Atlautla</t>
  </si>
  <si>
    <t>Universidad Politécnica de Otzolotepec</t>
  </si>
  <si>
    <t>Universidad Tecnológica de Zinacantepec</t>
  </si>
  <si>
    <t>Universidad Politécnica de Atlacomulco</t>
  </si>
  <si>
    <t>Centro Regional de Formación Docente e Investigación Educativa</t>
  </si>
  <si>
    <t>Secretaría de Infraestructura</t>
  </si>
  <si>
    <t>Comisión Técnica del Agua del Estado de México</t>
  </si>
  <si>
    <t>Total Secretaría de Infraestructura</t>
  </si>
  <si>
    <t>Secretaría de Cultura</t>
  </si>
  <si>
    <t>Total Secretaría de Cultura</t>
  </si>
  <si>
    <t>Secretaría de Desarrollo Urbano y Metropolitano</t>
  </si>
  <si>
    <t>Secretariado Ejecutivo del Sistema Estatal de Seguridad Pública</t>
  </si>
  <si>
    <t>Procuraduría del Colono del Estado de México</t>
  </si>
  <si>
    <t>Instituto Mexiquense de Seguridad y Justicia</t>
  </si>
  <si>
    <t>Sistema de Autopistas, Aeropuertos, Servicios Conexos y Auxiliares del Estado de México</t>
  </si>
  <si>
    <t>Sistema de Transporte Masivo y Teleférico del Estado de México</t>
  </si>
  <si>
    <t>Régimen Estatal de Protección Social en Salud</t>
  </si>
  <si>
    <t>Secretaría de Justicia y Derechos Humanos</t>
  </si>
  <si>
    <t xml:space="preserve">Total </t>
  </si>
  <si>
    <t>Instituto de Información e Investigación Geográfica, Estadística y Catastral del Estado de México</t>
  </si>
  <si>
    <t>Comité de Planeación para el Desarrollo del Estado de México</t>
  </si>
  <si>
    <t>Instituto de Evaluación Educativa del Estado de México</t>
  </si>
  <si>
    <t>Sistema de Radio y Televisión Mexiquense   </t>
  </si>
  <si>
    <t>Secretaría de Movilidad</t>
  </si>
  <si>
    <t>Total Secretaría de Movilidad</t>
  </si>
  <si>
    <t>Instituto de Administración Pública del Estado de México A.C.</t>
  </si>
  <si>
    <t>Tecnológico de Estudios Superiores de Chicoloapan</t>
  </si>
  <si>
    <t>Secretaría de Seguridad</t>
  </si>
  <si>
    <t xml:space="preserve">Total Secretaría de Seguridad </t>
  </si>
  <si>
    <t xml:space="preserve">Secretaría de Comunicaciones </t>
  </si>
  <si>
    <t xml:space="preserve">Secretaría de Obra Pública </t>
  </si>
  <si>
    <t>Total Secretaría de Obra Pública</t>
  </si>
  <si>
    <t>Universidad Politécnica de Chimalhuacán</t>
  </si>
  <si>
    <t xml:space="preserve">Total Secretaría de Desarrollo Urbano y Metropolitano </t>
  </si>
  <si>
    <t xml:space="preserve">Secretaría de Justicia y Derechos Humanos </t>
  </si>
  <si>
    <t xml:space="preserve">Total Secretaría de Justicia y Derechos Humanos </t>
  </si>
  <si>
    <t>Comisión para la Protección Contra Riesgos Sanitarios del Estado de México</t>
  </si>
  <si>
    <t>Secretaría Ejecutiva del Sistema Estatal Anticorrupción</t>
  </si>
  <si>
    <t>Secretaría de Obra Pública</t>
  </si>
  <si>
    <t>Instituto Mexiquense para la Protección e Integración al Desarrollo de las Personas con Discapacidad</t>
  </si>
  <si>
    <t>Unidad de Asuntos Internos</t>
  </si>
  <si>
    <t>Universidad Mexiquense de Seguridad</t>
  </si>
  <si>
    <t>Colegio de Bachilleres del Estado de México</t>
  </si>
  <si>
    <t>Instituto Estatal de Energía y Cambio Climático</t>
  </si>
  <si>
    <t>Junta de Asistencia Privada del Estado de México</t>
  </si>
  <si>
    <t>Centro de Conciliación Laboral del Estado de México</t>
  </si>
  <si>
    <t>Secretaría de Cultura y Turismo</t>
  </si>
  <si>
    <t>Secretaría de la Mujer</t>
  </si>
  <si>
    <t>Total Secretaría de la Mujer</t>
  </si>
  <si>
    <t>Solicitudes de Información, 2005-2020</t>
  </si>
  <si>
    <r>
      <t>Poder Ejecutivo</t>
    </r>
    <r>
      <rPr>
        <b/>
        <vertAlign val="superscript"/>
        <sz val="11"/>
        <color indexed="8"/>
        <rFont val="HelveticaNeueLT Std"/>
        <family val="2"/>
      </rPr>
      <t>1/</t>
    </r>
  </si>
  <si>
    <r>
      <t>Fuente:</t>
    </r>
    <r>
      <rPr>
        <b/>
        <sz val="11"/>
        <color indexed="8"/>
        <rFont val="HelveticaNeueLT Std"/>
        <family val="2"/>
      </rPr>
      <t xml:space="preserve"> </t>
    </r>
    <r>
      <rPr>
        <sz val="11"/>
        <color indexed="8"/>
        <rFont val="HelveticaNeueLT Std"/>
        <family val="2"/>
      </rPr>
      <t>Elaboración propia con estadísticas del Instituto de Transparencia, Acceso a la Información Pública y Protección de Datos Personales del Estado de México y Municipios (INFOEM).</t>
    </r>
  </si>
  <si>
    <r>
      <rPr>
        <b/>
        <sz val="11"/>
        <color indexed="8"/>
        <rFont val="HelveticaNeueLT Std"/>
        <family val="2"/>
      </rPr>
      <t xml:space="preserve">1/ </t>
    </r>
    <r>
      <rPr>
        <sz val="11"/>
        <color indexed="8"/>
        <rFont val="HelveticaNeueLT Std"/>
        <family val="2"/>
      </rPr>
      <t>Incluye a las Dependencias del Sector Central y sus organismos.</t>
    </r>
  </si>
  <si>
    <r>
      <t>Poder Ejecutivo</t>
    </r>
    <r>
      <rPr>
        <b/>
        <vertAlign val="superscript"/>
        <sz val="14"/>
        <color indexed="8"/>
        <rFont val="Arial"/>
        <family val="2"/>
      </rPr>
      <t>1/</t>
    </r>
  </si>
  <si>
    <r>
      <t>Fuente:</t>
    </r>
    <r>
      <rPr>
        <sz val="8"/>
        <color indexed="8"/>
        <rFont val="Arial"/>
        <family val="2"/>
      </rPr>
      <t xml:space="preserve"> Elaboración propia con estadísticas del Instituto de Transparencia, Acceso a la Información Pública y Protección de Datos Personales del Estado de México y Municipios (INFOEM).</t>
    </r>
  </si>
  <si>
    <r>
      <rPr>
        <b/>
        <sz val="8"/>
        <color indexed="8"/>
        <rFont val="Arial"/>
        <family val="2"/>
      </rPr>
      <t xml:space="preserve">1/ </t>
    </r>
    <r>
      <rPr>
        <sz val="8"/>
        <color indexed="8"/>
        <rFont val="Arial"/>
        <family val="2"/>
      </rPr>
      <t>Incluye a las Dependencias del Sector Central y sus organismos.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</si>
</sst>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11"/>
      <color indexed="8"/>
      <name val="HelveticaNeueLT Std"/>
      <family val="2"/>
    </font>
    <font>
      <sz val="11"/>
      <name val="HelveticaNeueLT Std"/>
      <family val="2"/>
    </font>
    <font>
      <b/>
      <sz val="11"/>
      <name val="HelveticaNeueLT Std"/>
      <family val="2"/>
    </font>
    <font>
      <b/>
      <sz val="11"/>
      <color indexed="8"/>
      <name val="HelveticaNeueLT Std"/>
      <family val="2"/>
    </font>
    <font>
      <sz val="11"/>
      <color indexed="8"/>
      <name val="HelveticaNeueLT Std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HelveticaNeueLT Std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b/>
      <vertAlign val="superscript"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63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HelveticaNeueLT Std"/>
      <family val="2"/>
    </font>
    <font>
      <b/>
      <sz val="11"/>
      <color theme="0"/>
      <name val="HelveticaNeueLT Std"/>
      <family val="2"/>
    </font>
    <font>
      <sz val="11"/>
      <color rgb="FF000000"/>
      <name val="HelveticaNeueLT Std"/>
      <family val="2"/>
    </font>
    <font>
      <b/>
      <sz val="11"/>
      <color theme="1"/>
      <name val="HelveticaNeueLT Std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rgb="FF000000"/>
      <name val="Arial"/>
      <family val="2"/>
    </font>
    <font>
      <sz val="9"/>
      <color rgb="FF333333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FF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/>
      <bottom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 style="medium"/>
      <right style="medium"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/>
      <bottom/>
    </border>
    <border>
      <left>
        <color indexed="63"/>
      </left>
      <right style="thin"/>
      <top/>
      <bottom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</cellStyleXfs>
  <cellXfs count="142">
    <xf numFmtId="0" fontId="0" fillId="0" borderId="0" xfId="0" applyFont="1" applyAlignment="1">
      <alignment/>
    </xf>
    <xf numFmtId="0" fontId="57" fillId="33" borderId="0" xfId="0" applyFont="1" applyFill="1" applyAlignment="1">
      <alignment horizontal="center" vertical="center"/>
    </xf>
    <xf numFmtId="0" fontId="58" fillId="34" borderId="10" xfId="0" applyFont="1" applyFill="1" applyBorder="1" applyAlignment="1">
      <alignment vertical="center" wrapText="1"/>
    </xf>
    <xf numFmtId="0" fontId="58" fillId="34" borderId="10" xfId="0" applyFont="1" applyFill="1" applyBorder="1" applyAlignment="1">
      <alignment horizontal="center" vertical="center" wrapText="1"/>
    </xf>
    <xf numFmtId="0" fontId="58" fillId="34" borderId="11" xfId="0" applyFont="1" applyFill="1" applyBorder="1" applyAlignment="1">
      <alignment horizontal="center" vertical="center" wrapText="1"/>
    </xf>
    <xf numFmtId="0" fontId="58" fillId="34" borderId="10" xfId="0" applyFont="1" applyFill="1" applyBorder="1" applyAlignment="1">
      <alignment horizontal="center" vertical="center"/>
    </xf>
    <xf numFmtId="0" fontId="58" fillId="34" borderId="12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57" fillId="0" borderId="13" xfId="0" applyFont="1" applyFill="1" applyBorder="1" applyAlignment="1">
      <alignment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3" fontId="3" fillId="0" borderId="14" xfId="0" applyNumberFormat="1" applyFont="1" applyFill="1" applyBorder="1" applyAlignment="1">
      <alignment horizontal="right" vertical="center" wrapText="1"/>
    </xf>
    <xf numFmtId="0" fontId="57" fillId="0" borderId="13" xfId="0" applyFont="1" applyFill="1" applyBorder="1" applyAlignment="1">
      <alignment wrapText="1"/>
    </xf>
    <xf numFmtId="0" fontId="57" fillId="0" borderId="14" xfId="0" applyFont="1" applyFill="1" applyBorder="1" applyAlignment="1">
      <alignment wrapText="1"/>
    </xf>
    <xf numFmtId="0" fontId="57" fillId="0" borderId="0" xfId="0" applyFont="1" applyFill="1" applyBorder="1" applyAlignment="1">
      <alignment wrapText="1"/>
    </xf>
    <xf numFmtId="3" fontId="59" fillId="0" borderId="15" xfId="0" applyNumberFormat="1" applyFont="1" applyFill="1" applyBorder="1" applyAlignment="1">
      <alignment wrapText="1"/>
    </xf>
    <xf numFmtId="3" fontId="57" fillId="0" borderId="0" xfId="0" applyNumberFormat="1" applyFont="1" applyFill="1" applyAlignment="1">
      <alignment horizontal="center" vertical="center"/>
    </xf>
    <xf numFmtId="0" fontId="60" fillId="35" borderId="16" xfId="0" applyFont="1" applyFill="1" applyBorder="1" applyAlignment="1">
      <alignment vertical="center" wrapText="1"/>
    </xf>
    <xf numFmtId="3" fontId="4" fillId="35" borderId="16" xfId="0" applyNumberFormat="1" applyFont="1" applyFill="1" applyBorder="1" applyAlignment="1">
      <alignment horizontal="right" vertical="center" wrapText="1"/>
    </xf>
    <xf numFmtId="3" fontId="4" fillId="35" borderId="17" xfId="0" applyNumberFormat="1" applyFont="1" applyFill="1" applyBorder="1" applyAlignment="1">
      <alignment horizontal="right" vertical="center" wrapText="1"/>
    </xf>
    <xf numFmtId="3" fontId="4" fillId="35" borderId="18" xfId="0" applyNumberFormat="1" applyFont="1" applyFill="1" applyBorder="1" applyAlignment="1">
      <alignment horizontal="right" vertical="center" wrapText="1"/>
    </xf>
    <xf numFmtId="3" fontId="57" fillId="0" borderId="0" xfId="0" applyNumberFormat="1" applyFont="1" applyAlignment="1">
      <alignment horizontal="center" vertical="center"/>
    </xf>
    <xf numFmtId="3" fontId="4" fillId="35" borderId="19" xfId="0" applyNumberFormat="1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vertical="center" wrapText="1"/>
    </xf>
    <xf numFmtId="0" fontId="60" fillId="0" borderId="0" xfId="0" applyFont="1" applyFill="1" applyAlignment="1">
      <alignment horizontal="center" vertical="center"/>
    </xf>
    <xf numFmtId="0" fontId="60" fillId="35" borderId="17" xfId="0" applyFont="1" applyFill="1" applyBorder="1" applyAlignment="1">
      <alignment vertical="center" wrapText="1"/>
    </xf>
    <xf numFmtId="3" fontId="4" fillId="35" borderId="20" xfId="0" applyNumberFormat="1" applyFont="1" applyFill="1" applyBorder="1" applyAlignment="1">
      <alignment horizontal="right" vertical="center" wrapText="1"/>
    </xf>
    <xf numFmtId="3" fontId="4" fillId="35" borderId="21" xfId="0" applyNumberFormat="1" applyFont="1" applyFill="1" applyBorder="1" applyAlignment="1">
      <alignment horizontal="right" vertical="center" wrapText="1"/>
    </xf>
    <xf numFmtId="0" fontId="57" fillId="0" borderId="14" xfId="0" applyFont="1" applyFill="1" applyBorder="1" applyAlignment="1">
      <alignment horizontal="left" vertical="center" wrapText="1"/>
    </xf>
    <xf numFmtId="0" fontId="57" fillId="0" borderId="13" xfId="0" applyFont="1" applyFill="1" applyBorder="1" applyAlignment="1">
      <alignment horizontal="left" vertical="center" wrapText="1"/>
    </xf>
    <xf numFmtId="0" fontId="57" fillId="0" borderId="0" xfId="0" applyFont="1" applyFill="1" applyBorder="1" applyAlignment="1">
      <alignment horizontal="left" vertical="center" wrapText="1"/>
    </xf>
    <xf numFmtId="0" fontId="57" fillId="0" borderId="14" xfId="0" applyFont="1" applyFill="1" applyBorder="1" applyAlignment="1">
      <alignment vertical="center" wrapText="1"/>
    </xf>
    <xf numFmtId="0" fontId="57" fillId="0" borderId="13" xfId="0" applyFont="1" applyBorder="1" applyAlignment="1">
      <alignment wrapText="1"/>
    </xf>
    <xf numFmtId="0" fontId="57" fillId="0" borderId="14" xfId="0" applyFont="1" applyBorder="1" applyAlignment="1">
      <alignment wrapText="1"/>
    </xf>
    <xf numFmtId="0" fontId="57" fillId="0" borderId="0" xfId="0" applyFont="1" applyBorder="1" applyAlignment="1">
      <alignment wrapText="1"/>
    </xf>
    <xf numFmtId="3" fontId="3" fillId="0" borderId="22" xfId="0" applyNumberFormat="1" applyFont="1" applyFill="1" applyBorder="1" applyAlignment="1">
      <alignment horizontal="right" vertical="center" wrapText="1"/>
    </xf>
    <xf numFmtId="3" fontId="3" fillId="0" borderId="23" xfId="0" applyNumberFormat="1" applyFont="1" applyFill="1" applyBorder="1" applyAlignment="1">
      <alignment horizontal="right" vertical="center" wrapText="1"/>
    </xf>
    <xf numFmtId="0" fontId="60" fillId="35" borderId="24" xfId="0" applyFont="1" applyFill="1" applyBorder="1" applyAlignment="1">
      <alignment vertical="center" wrapText="1"/>
    </xf>
    <xf numFmtId="3" fontId="4" fillId="35" borderId="24" xfId="0" applyNumberFormat="1" applyFont="1" applyFill="1" applyBorder="1" applyAlignment="1">
      <alignment horizontal="right" vertical="center" wrapText="1"/>
    </xf>
    <xf numFmtId="3" fontId="4" fillId="35" borderId="25" xfId="0" applyNumberFormat="1" applyFont="1" applyFill="1" applyBorder="1" applyAlignment="1">
      <alignment horizontal="right" vertical="center" wrapText="1"/>
    </xf>
    <xf numFmtId="3" fontId="4" fillId="35" borderId="26" xfId="0" applyNumberFormat="1" applyFont="1" applyFill="1" applyBorder="1" applyAlignment="1">
      <alignment horizontal="right" vertical="center" wrapText="1"/>
    </xf>
    <xf numFmtId="3" fontId="4" fillId="35" borderId="27" xfId="0" applyNumberFormat="1" applyFont="1" applyFill="1" applyBorder="1" applyAlignment="1">
      <alignment horizontal="right" vertical="center" wrapText="1"/>
    </xf>
    <xf numFmtId="0" fontId="57" fillId="0" borderId="28" xfId="0" applyFont="1" applyFill="1" applyBorder="1" applyAlignment="1">
      <alignment vertical="center" wrapText="1"/>
    </xf>
    <xf numFmtId="3" fontId="3" fillId="0" borderId="28" xfId="0" applyNumberFormat="1" applyFont="1" applyFill="1" applyBorder="1" applyAlignment="1">
      <alignment horizontal="right" vertical="center" wrapText="1"/>
    </xf>
    <xf numFmtId="0" fontId="57" fillId="0" borderId="28" xfId="0" applyFont="1" applyFill="1" applyBorder="1" applyAlignment="1">
      <alignment wrapText="1"/>
    </xf>
    <xf numFmtId="3" fontId="59" fillId="0" borderId="28" xfId="0" applyNumberFormat="1" applyFont="1" applyFill="1" applyBorder="1" applyAlignment="1">
      <alignment wrapText="1"/>
    </xf>
    <xf numFmtId="0" fontId="60" fillId="35" borderId="13" xfId="0" applyFont="1" applyFill="1" applyBorder="1" applyAlignment="1">
      <alignment vertical="center" wrapText="1"/>
    </xf>
    <xf numFmtId="3" fontId="4" fillId="35" borderId="13" xfId="0" applyNumberFormat="1" applyFont="1" applyFill="1" applyBorder="1" applyAlignment="1">
      <alignment horizontal="right" vertical="center" wrapText="1"/>
    </xf>
    <xf numFmtId="3" fontId="4" fillId="35" borderId="15" xfId="0" applyNumberFormat="1" applyFont="1" applyFill="1" applyBorder="1" applyAlignment="1">
      <alignment horizontal="right" vertical="center" wrapText="1"/>
    </xf>
    <xf numFmtId="0" fontId="60" fillId="35" borderId="29" xfId="0" applyFont="1" applyFill="1" applyBorder="1" applyAlignment="1">
      <alignment vertical="center" wrapText="1"/>
    </xf>
    <xf numFmtId="3" fontId="4" fillId="35" borderId="29" xfId="0" applyNumberFormat="1" applyFont="1" applyFill="1" applyBorder="1" applyAlignment="1">
      <alignment horizontal="right" vertical="center" wrapText="1"/>
    </xf>
    <xf numFmtId="3" fontId="4" fillId="35" borderId="30" xfId="0" applyNumberFormat="1" applyFont="1" applyFill="1" applyBorder="1" applyAlignment="1">
      <alignment horizontal="right" vertical="center" wrapText="1"/>
    </xf>
    <xf numFmtId="3" fontId="4" fillId="35" borderId="31" xfId="0" applyNumberFormat="1" applyFont="1" applyFill="1" applyBorder="1" applyAlignment="1">
      <alignment horizontal="right" vertical="center" wrapText="1"/>
    </xf>
    <xf numFmtId="3" fontId="4" fillId="35" borderId="32" xfId="0" applyNumberFormat="1" applyFont="1" applyFill="1" applyBorder="1" applyAlignment="1">
      <alignment horizontal="right" vertical="center" wrapText="1"/>
    </xf>
    <xf numFmtId="3" fontId="57" fillId="0" borderId="13" xfId="0" applyNumberFormat="1" applyFont="1" applyFill="1" applyBorder="1" applyAlignment="1">
      <alignment horizontal="right" vertical="center" wrapText="1"/>
    </xf>
    <xf numFmtId="3" fontId="57" fillId="0" borderId="14" xfId="0" applyNumberFormat="1" applyFont="1" applyFill="1" applyBorder="1" applyAlignment="1">
      <alignment horizontal="right" vertical="center" wrapText="1"/>
    </xf>
    <xf numFmtId="3" fontId="57" fillId="0" borderId="33" xfId="0" applyNumberFormat="1" applyFont="1" applyFill="1" applyBorder="1" applyAlignment="1">
      <alignment horizontal="right" vertical="center" wrapText="1"/>
    </xf>
    <xf numFmtId="3" fontId="57" fillId="0" borderId="34" xfId="0" applyNumberFormat="1" applyFont="1" applyFill="1" applyBorder="1" applyAlignment="1">
      <alignment horizontal="right" vertical="center" wrapText="1"/>
    </xf>
    <xf numFmtId="3" fontId="57" fillId="0" borderId="35" xfId="0" applyNumberFormat="1" applyFont="1" applyFill="1" applyBorder="1" applyAlignment="1">
      <alignment horizontal="right" vertical="center" wrapText="1"/>
    </xf>
    <xf numFmtId="3" fontId="57" fillId="0" borderId="36" xfId="0" applyNumberFormat="1" applyFont="1" applyFill="1" applyBorder="1" applyAlignment="1">
      <alignment horizontal="right" vertical="center" wrapText="1"/>
    </xf>
    <xf numFmtId="0" fontId="60" fillId="36" borderId="37" xfId="0" applyFont="1" applyFill="1" applyBorder="1" applyAlignment="1">
      <alignment horizontal="center" vertical="center" wrapText="1"/>
    </xf>
    <xf numFmtId="3" fontId="60" fillId="36" borderId="37" xfId="0" applyNumberFormat="1" applyFont="1" applyFill="1" applyBorder="1" applyAlignment="1">
      <alignment horizontal="right" vertical="center" wrapText="1"/>
    </xf>
    <xf numFmtId="3" fontId="57" fillId="33" borderId="0" xfId="0" applyNumberFormat="1" applyFont="1" applyFill="1" applyAlignment="1">
      <alignment horizontal="center" vertical="center"/>
    </xf>
    <xf numFmtId="0" fontId="60" fillId="33" borderId="0" xfId="0" applyFont="1" applyFill="1" applyAlignment="1">
      <alignment horizontal="center" vertical="center"/>
    </xf>
    <xf numFmtId="0" fontId="60" fillId="33" borderId="0" xfId="0" applyFont="1" applyFill="1" applyAlignment="1">
      <alignment horizontal="left" vertical="center"/>
    </xf>
    <xf numFmtId="0" fontId="57" fillId="33" borderId="0" xfId="0" applyFont="1" applyFill="1" applyAlignment="1">
      <alignment horizontal="center" vertical="center" wrapText="1"/>
    </xf>
    <xf numFmtId="0" fontId="57" fillId="33" borderId="0" xfId="0" applyFont="1" applyFill="1" applyAlignment="1">
      <alignment horizontal="left" vertical="center" wrapText="1"/>
    </xf>
    <xf numFmtId="3" fontId="60" fillId="33" borderId="0" xfId="0" applyNumberFormat="1" applyFont="1" applyFill="1" applyAlignment="1">
      <alignment horizontal="center" vertical="center"/>
    </xf>
    <xf numFmtId="0" fontId="57" fillId="33" borderId="0" xfId="0" applyFont="1" applyFill="1" applyAlignment="1">
      <alignment horizontal="left" vertical="center"/>
    </xf>
    <xf numFmtId="0" fontId="57" fillId="0" borderId="0" xfId="0" applyFont="1" applyAlignment="1">
      <alignment horizontal="left" vertical="center" wrapText="1"/>
    </xf>
    <xf numFmtId="0" fontId="57" fillId="0" borderId="0" xfId="0" applyFont="1" applyAlignment="1">
      <alignment horizontal="center" vertical="center" wrapText="1"/>
    </xf>
    <xf numFmtId="0" fontId="60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57" fillId="33" borderId="0" xfId="0" applyFont="1" applyFill="1" applyBorder="1" applyAlignment="1">
      <alignment horizontal="center" vertical="center" wrapText="1"/>
    </xf>
    <xf numFmtId="0" fontId="61" fillId="0" borderId="0" xfId="0" applyFont="1" applyFill="1" applyAlignment="1">
      <alignment horizontal="left" vertical="center" wrapText="1"/>
    </xf>
    <xf numFmtId="0" fontId="62" fillId="0" borderId="0" xfId="0" applyFont="1" applyFill="1" applyAlignment="1">
      <alignment horizontal="left" vertical="center" wrapText="1"/>
    </xf>
    <xf numFmtId="0" fontId="61" fillId="0" borderId="0" xfId="0" applyFont="1" applyFill="1" applyAlignment="1">
      <alignment horizontal="center" vertical="center" wrapText="1"/>
    </xf>
    <xf numFmtId="0" fontId="61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61" fillId="33" borderId="0" xfId="0" applyFont="1" applyFill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64" fillId="33" borderId="0" xfId="0" applyFont="1" applyFill="1" applyAlignment="1">
      <alignment vertical="center"/>
    </xf>
    <xf numFmtId="0" fontId="63" fillId="33" borderId="0" xfId="0" applyFont="1" applyFill="1" applyAlignment="1">
      <alignment horizontal="center" vertical="center"/>
    </xf>
    <xf numFmtId="0" fontId="65" fillId="33" borderId="0" xfId="0" applyFont="1" applyFill="1" applyAlignment="1">
      <alignment horizontal="center" vertical="center"/>
    </xf>
    <xf numFmtId="0" fontId="61" fillId="33" borderId="0" xfId="0" applyFont="1" applyFill="1" applyBorder="1" applyAlignment="1">
      <alignment vertical="center" wrapText="1"/>
    </xf>
    <xf numFmtId="0" fontId="61" fillId="33" borderId="0" xfId="0" applyFont="1" applyFill="1" applyBorder="1" applyAlignment="1">
      <alignment horizontal="center" vertical="center" wrapText="1"/>
    </xf>
    <xf numFmtId="0" fontId="66" fillId="34" borderId="38" xfId="0" applyFont="1" applyFill="1" applyBorder="1" applyAlignment="1">
      <alignment horizontal="center" vertical="center" wrapText="1"/>
    </xf>
    <xf numFmtId="0" fontId="66" fillId="34" borderId="39" xfId="0" applyFont="1" applyFill="1" applyBorder="1" applyAlignment="1">
      <alignment horizontal="centerContinuous" vertical="center" wrapText="1"/>
    </xf>
    <xf numFmtId="0" fontId="66" fillId="34" borderId="40" xfId="0" applyFont="1" applyFill="1" applyBorder="1" applyAlignment="1">
      <alignment horizontal="centerContinuous" vertical="center" wrapText="1"/>
    </xf>
    <xf numFmtId="0" fontId="66" fillId="34" borderId="41" xfId="0" applyFont="1" applyFill="1" applyBorder="1" applyAlignment="1">
      <alignment horizontal="centerContinuous" vertical="center" wrapText="1"/>
    </xf>
    <xf numFmtId="0" fontId="66" fillId="34" borderId="39" xfId="0" applyFont="1" applyFill="1" applyBorder="1" applyAlignment="1">
      <alignment horizontal="center" vertical="center" wrapText="1"/>
    </xf>
    <xf numFmtId="0" fontId="66" fillId="34" borderId="40" xfId="0" applyFont="1" applyFill="1" applyBorder="1" applyAlignment="1">
      <alignment horizontal="center" vertical="center" wrapText="1"/>
    </xf>
    <xf numFmtId="0" fontId="66" fillId="34" borderId="41" xfId="0" applyFont="1" applyFill="1" applyBorder="1" applyAlignment="1">
      <alignment horizontal="center" vertical="center" wrapText="1"/>
    </xf>
    <xf numFmtId="0" fontId="66" fillId="34" borderId="37" xfId="0" applyFont="1" applyFill="1" applyBorder="1" applyAlignment="1">
      <alignment horizontal="center" vertical="center" wrapText="1"/>
    </xf>
    <xf numFmtId="0" fontId="66" fillId="34" borderId="42" xfId="0" applyFont="1" applyFill="1" applyBorder="1" applyAlignment="1">
      <alignment horizontal="center" vertical="center" wrapText="1"/>
    </xf>
    <xf numFmtId="0" fontId="66" fillId="34" borderId="43" xfId="0" applyFont="1" applyFill="1" applyBorder="1" applyAlignment="1">
      <alignment horizontal="center" vertical="center" wrapText="1"/>
    </xf>
    <xf numFmtId="0" fontId="66" fillId="34" borderId="10" xfId="0" applyFont="1" applyFill="1" applyBorder="1" applyAlignment="1">
      <alignment horizontal="center" vertical="center" textRotation="90" wrapText="1"/>
    </xf>
    <xf numFmtId="0" fontId="67" fillId="34" borderId="10" xfId="0" applyFont="1" applyFill="1" applyBorder="1" applyAlignment="1">
      <alignment horizontal="center" vertical="center" textRotation="90" wrapText="1"/>
    </xf>
    <xf numFmtId="0" fontId="67" fillId="34" borderId="44" xfId="0" applyFont="1" applyFill="1" applyBorder="1" applyAlignment="1">
      <alignment horizontal="center" vertical="center" textRotation="90" wrapText="1"/>
    </xf>
    <xf numFmtId="0" fontId="61" fillId="33" borderId="45" xfId="0" applyFont="1" applyFill="1" applyBorder="1" applyAlignment="1">
      <alignment vertical="center" wrapText="1"/>
    </xf>
    <xf numFmtId="3" fontId="34" fillId="33" borderId="13" xfId="0" applyNumberFormat="1" applyFont="1" applyFill="1" applyBorder="1" applyAlignment="1">
      <alignment horizontal="center" vertical="center" wrapText="1"/>
    </xf>
    <xf numFmtId="3" fontId="35" fillId="35" borderId="13" xfId="0" applyNumberFormat="1" applyFont="1" applyFill="1" applyBorder="1" applyAlignment="1">
      <alignment horizontal="center" vertical="center" wrapText="1"/>
    </xf>
    <xf numFmtId="0" fontId="68" fillId="33" borderId="13" xfId="0" applyFont="1" applyFill="1" applyBorder="1" applyAlignment="1">
      <alignment horizontal="center" vertical="center" wrapText="1"/>
    </xf>
    <xf numFmtId="3" fontId="61" fillId="33" borderId="0" xfId="0" applyNumberFormat="1" applyFont="1" applyFill="1" applyAlignment="1">
      <alignment horizontal="center" vertical="center" wrapText="1"/>
    </xf>
    <xf numFmtId="0" fontId="61" fillId="33" borderId="13" xfId="0" applyFont="1" applyFill="1" applyBorder="1" applyAlignment="1">
      <alignment horizontal="center" vertical="center" wrapText="1"/>
    </xf>
    <xf numFmtId="3" fontId="61" fillId="33" borderId="13" xfId="0" applyNumberFormat="1" applyFont="1" applyFill="1" applyBorder="1" applyAlignment="1">
      <alignment horizontal="center" vertical="center" wrapText="1"/>
    </xf>
    <xf numFmtId="3" fontId="35" fillId="35" borderId="14" xfId="0" applyNumberFormat="1" applyFont="1" applyFill="1" applyBorder="1" applyAlignment="1">
      <alignment horizontal="center" vertical="center" wrapText="1"/>
    </xf>
    <xf numFmtId="3" fontId="35" fillId="33" borderId="15" xfId="0" applyNumberFormat="1" applyFont="1" applyFill="1" applyBorder="1" applyAlignment="1">
      <alignment horizontal="center" vertical="center" wrapText="1"/>
    </xf>
    <xf numFmtId="3" fontId="35" fillId="35" borderId="15" xfId="0" applyNumberFormat="1" applyFont="1" applyFill="1" applyBorder="1" applyAlignment="1">
      <alignment horizontal="center" vertical="center" wrapText="1"/>
    </xf>
    <xf numFmtId="3" fontId="61" fillId="37" borderId="46" xfId="0" applyNumberFormat="1" applyFont="1" applyFill="1" applyBorder="1" applyAlignment="1">
      <alignment horizontal="center" vertical="center" wrapText="1"/>
    </xf>
    <xf numFmtId="3" fontId="61" fillId="37" borderId="15" xfId="0" applyNumberFormat="1" applyFont="1" applyFill="1" applyBorder="1" applyAlignment="1">
      <alignment horizontal="center" vertical="center" wrapText="1"/>
    </xf>
    <xf numFmtId="3" fontId="35" fillId="35" borderId="47" xfId="0" applyNumberFormat="1" applyFont="1" applyFill="1" applyBorder="1" applyAlignment="1">
      <alignment horizontal="center" vertical="center" wrapText="1"/>
    </xf>
    <xf numFmtId="3" fontId="68" fillId="37" borderId="46" xfId="0" applyNumberFormat="1" applyFont="1" applyFill="1" applyBorder="1" applyAlignment="1">
      <alignment horizontal="center" vertical="center" wrapText="1"/>
    </xf>
    <xf numFmtId="0" fontId="68" fillId="37" borderId="15" xfId="0" applyFont="1" applyFill="1" applyBorder="1" applyAlignment="1">
      <alignment horizontal="center" vertical="center" wrapText="1"/>
    </xf>
    <xf numFmtId="0" fontId="61" fillId="33" borderId="48" xfId="0" applyFont="1" applyFill="1" applyBorder="1" applyAlignment="1">
      <alignment horizontal="center" vertical="center" wrapText="1"/>
    </xf>
    <xf numFmtId="3" fontId="68" fillId="37" borderId="15" xfId="0" applyNumberFormat="1" applyFont="1" applyFill="1" applyBorder="1" applyAlignment="1">
      <alignment horizontal="center" vertical="center" wrapText="1"/>
    </xf>
    <xf numFmtId="3" fontId="69" fillId="33" borderId="13" xfId="0" applyNumberFormat="1" applyFont="1" applyFill="1" applyBorder="1" applyAlignment="1">
      <alignment horizontal="center" vertical="center" wrapText="1"/>
    </xf>
    <xf numFmtId="0" fontId="61" fillId="33" borderId="45" xfId="0" applyFont="1" applyFill="1" applyBorder="1" applyAlignment="1">
      <alignment horizontal="left" vertical="center" wrapText="1"/>
    </xf>
    <xf numFmtId="3" fontId="62" fillId="35" borderId="13" xfId="0" applyNumberFormat="1" applyFont="1" applyFill="1" applyBorder="1" applyAlignment="1">
      <alignment horizontal="center" vertical="center" wrapText="1"/>
    </xf>
    <xf numFmtId="3" fontId="61" fillId="33" borderId="13" xfId="0" applyNumberFormat="1" applyFont="1" applyFill="1" applyBorder="1" applyAlignment="1">
      <alignment horizontal="center" vertical="center"/>
    </xf>
    <xf numFmtId="3" fontId="61" fillId="33" borderId="14" xfId="0" applyNumberFormat="1" applyFont="1" applyFill="1" applyBorder="1" applyAlignment="1">
      <alignment horizontal="center" vertical="center"/>
    </xf>
    <xf numFmtId="3" fontId="62" fillId="35" borderId="14" xfId="0" applyNumberFormat="1" applyFont="1" applyFill="1" applyBorder="1" applyAlignment="1">
      <alignment horizontal="center" vertical="center"/>
    </xf>
    <xf numFmtId="3" fontId="34" fillId="0" borderId="13" xfId="0" applyNumberFormat="1" applyFont="1" applyFill="1" applyBorder="1" applyAlignment="1">
      <alignment horizontal="center" vertical="center" wrapText="1"/>
    </xf>
    <xf numFmtId="0" fontId="68" fillId="37" borderId="46" xfId="0" applyFont="1" applyFill="1" applyBorder="1" applyAlignment="1">
      <alignment horizontal="center" vertical="center" wrapText="1"/>
    </xf>
    <xf numFmtId="3" fontId="34" fillId="33" borderId="14" xfId="0" applyNumberFormat="1" applyFont="1" applyFill="1" applyBorder="1" applyAlignment="1">
      <alignment horizontal="center" vertical="center" wrapText="1"/>
    </xf>
    <xf numFmtId="0" fontId="62" fillId="35" borderId="0" xfId="0" applyFont="1" applyFill="1" applyBorder="1" applyAlignment="1">
      <alignment horizontal="center" vertical="center" wrapText="1"/>
    </xf>
    <xf numFmtId="3" fontId="35" fillId="35" borderId="0" xfId="0" applyNumberFormat="1" applyFont="1" applyFill="1" applyBorder="1" applyAlignment="1">
      <alignment horizontal="center" vertical="center" wrapText="1"/>
    </xf>
    <xf numFmtId="0" fontId="62" fillId="35" borderId="29" xfId="0" applyFont="1" applyFill="1" applyBorder="1" applyAlignment="1">
      <alignment horizontal="center" vertical="center" wrapText="1"/>
    </xf>
    <xf numFmtId="0" fontId="62" fillId="35" borderId="29" xfId="0" applyFont="1" applyFill="1" applyBorder="1" applyAlignment="1">
      <alignment horizontal="center" vertical="center"/>
    </xf>
    <xf numFmtId="0" fontId="62" fillId="36" borderId="20" xfId="0" applyFont="1" applyFill="1" applyBorder="1" applyAlignment="1">
      <alignment horizontal="center" vertical="center" wrapText="1"/>
    </xf>
    <xf numFmtId="3" fontId="62" fillId="36" borderId="16" xfId="0" applyNumberFormat="1" applyFont="1" applyFill="1" applyBorder="1" applyAlignment="1">
      <alignment horizontal="center" vertical="center" wrapText="1"/>
    </xf>
    <xf numFmtId="3" fontId="62" fillId="36" borderId="17" xfId="0" applyNumberFormat="1" applyFont="1" applyFill="1" applyBorder="1" applyAlignment="1">
      <alignment horizontal="center" vertical="center" wrapText="1"/>
    </xf>
    <xf numFmtId="3" fontId="62" fillId="36" borderId="19" xfId="0" applyNumberFormat="1" applyFont="1" applyFill="1" applyBorder="1" applyAlignment="1">
      <alignment horizontal="center" vertical="center" wrapText="1"/>
    </xf>
    <xf numFmtId="3" fontId="62" fillId="36" borderId="49" xfId="0" applyNumberFormat="1" applyFont="1" applyFill="1" applyBorder="1" applyAlignment="1">
      <alignment horizontal="center" vertical="center" wrapText="1"/>
    </xf>
    <xf numFmtId="0" fontId="62" fillId="33" borderId="0" xfId="0" applyFont="1" applyFill="1" applyAlignment="1">
      <alignment horizontal="center" vertical="center"/>
    </xf>
    <xf numFmtId="0" fontId="61" fillId="33" borderId="0" xfId="0" applyFont="1" applyFill="1" applyAlignment="1">
      <alignment horizontal="center" vertical="center" wrapText="1"/>
    </xf>
    <xf numFmtId="0" fontId="62" fillId="33" borderId="0" xfId="0" applyFont="1" applyFill="1" applyAlignment="1">
      <alignment horizontal="center" vertical="center" wrapText="1"/>
    </xf>
    <xf numFmtId="0" fontId="61" fillId="33" borderId="0" xfId="0" applyFont="1" applyFill="1" applyAlignment="1">
      <alignment horizontal="left" vertical="center" wrapText="1"/>
    </xf>
    <xf numFmtId="0" fontId="62" fillId="33" borderId="0" xfId="0" applyFont="1" applyFill="1" applyAlignment="1">
      <alignment horizontal="left" vertical="center" wrapText="1"/>
    </xf>
    <xf numFmtId="3" fontId="62" fillId="33" borderId="0" xfId="0" applyNumberFormat="1" applyFont="1" applyFill="1" applyAlignment="1">
      <alignment horizontal="center" vertical="center"/>
    </xf>
    <xf numFmtId="0" fontId="70" fillId="33" borderId="0" xfId="0" applyFont="1" applyFill="1" applyAlignment="1">
      <alignment horizontal="left" vertical="center"/>
    </xf>
    <xf numFmtId="0" fontId="71" fillId="33" borderId="0" xfId="0" applyFont="1" applyFill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133350</xdr:rowOff>
    </xdr:from>
    <xdr:to>
      <xdr:col>1</xdr:col>
      <xdr:colOff>1266825</xdr:colOff>
      <xdr:row>5</xdr:row>
      <xdr:rowOff>57150</xdr:rowOff>
    </xdr:to>
    <xdr:pic>
      <xdr:nvPicPr>
        <xdr:cNvPr id="1" name="Picture 1" descr="G escudo 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33350"/>
          <a:ext cx="12287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161925</xdr:colOff>
      <xdr:row>0</xdr:row>
      <xdr:rowOff>0</xdr:rowOff>
    </xdr:from>
    <xdr:to>
      <xdr:col>47</xdr:col>
      <xdr:colOff>28575</xdr:colOff>
      <xdr:row>5</xdr:row>
      <xdr:rowOff>152400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26425" y="0"/>
          <a:ext cx="21050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0</xdr:rowOff>
    </xdr:from>
    <xdr:to>
      <xdr:col>1</xdr:col>
      <xdr:colOff>1276350</xdr:colOff>
      <xdr:row>5</xdr:row>
      <xdr:rowOff>152400</xdr:rowOff>
    </xdr:to>
    <xdr:pic>
      <xdr:nvPicPr>
        <xdr:cNvPr id="1" name="Picture 1" descr="G escudo 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80975"/>
          <a:ext cx="1228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285750</xdr:colOff>
      <xdr:row>0</xdr:row>
      <xdr:rowOff>0</xdr:rowOff>
    </xdr:from>
    <xdr:to>
      <xdr:col>16</xdr:col>
      <xdr:colOff>257175</xdr:colOff>
      <xdr:row>5</xdr:row>
      <xdr:rowOff>152400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10750" y="0"/>
          <a:ext cx="19335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CG41"/>
  <sheetViews>
    <sheetView tabSelected="1" zoomScalePageLayoutView="0" workbookViewId="0" topLeftCell="A1">
      <selection activeCell="B13" sqref="B13"/>
    </sheetView>
  </sheetViews>
  <sheetFormatPr defaultColWidth="11.421875" defaultRowHeight="15"/>
  <cols>
    <col min="1" max="1" width="3.00390625" style="79" customWidth="1"/>
    <col min="2" max="2" width="51.00390625" style="137" customWidth="1"/>
    <col min="3" max="4" width="5.7109375" style="137" customWidth="1"/>
    <col min="5" max="5" width="5.7109375" style="138" customWidth="1"/>
    <col min="6" max="7" width="5.7109375" style="137" customWidth="1"/>
    <col min="8" max="8" width="5.7109375" style="138" customWidth="1"/>
    <col min="9" max="10" width="5.7109375" style="137" customWidth="1"/>
    <col min="11" max="11" width="5.7109375" style="138" customWidth="1"/>
    <col min="12" max="14" width="6.7109375" style="137" customWidth="1"/>
    <col min="15" max="17" width="6.57421875" style="135" customWidth="1"/>
    <col min="18" max="20" width="6.421875" style="135" customWidth="1"/>
    <col min="21" max="23" width="6.8515625" style="135" customWidth="1"/>
    <col min="24" max="26" width="6.421875" style="135" customWidth="1"/>
    <col min="27" max="29" width="6.57421875" style="135" customWidth="1"/>
    <col min="30" max="50" width="6.7109375" style="79" customWidth="1"/>
    <col min="51" max="51" width="7.57421875" style="134" bestFit="1" customWidth="1"/>
    <col min="52" max="53" width="7.57421875" style="134" customWidth="1"/>
    <col min="54" max="16384" width="11.421875" style="79" customWidth="1"/>
  </cols>
  <sheetData>
    <row r="1" spans="2:53" ht="12">
      <c r="B1" s="74"/>
      <c r="C1" s="74"/>
      <c r="D1" s="74"/>
      <c r="E1" s="75"/>
      <c r="F1" s="74"/>
      <c r="G1" s="74"/>
      <c r="H1" s="75"/>
      <c r="I1" s="74"/>
      <c r="J1" s="74"/>
      <c r="K1" s="75"/>
      <c r="L1" s="74"/>
      <c r="M1" s="74"/>
      <c r="N1" s="74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8"/>
      <c r="AZ1" s="78"/>
      <c r="BA1" s="78"/>
    </row>
    <row r="2" spans="2:53" ht="12">
      <c r="B2" s="74"/>
      <c r="C2" s="74"/>
      <c r="D2" s="74"/>
      <c r="E2" s="75"/>
      <c r="F2" s="74"/>
      <c r="G2" s="74"/>
      <c r="H2" s="75"/>
      <c r="I2" s="74"/>
      <c r="J2" s="74"/>
      <c r="K2" s="75"/>
      <c r="L2" s="74"/>
      <c r="M2" s="74"/>
      <c r="N2" s="74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8"/>
      <c r="AZ2" s="78"/>
      <c r="BA2" s="78"/>
    </row>
    <row r="3" spans="2:85" ht="21">
      <c r="B3" s="80" t="s">
        <v>167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</row>
    <row r="4" spans="2:85" ht="18">
      <c r="B4" s="82" t="s">
        <v>163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</row>
    <row r="5" spans="2:85" ht="18">
      <c r="B5" s="83" t="s">
        <v>0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</row>
    <row r="6" spans="2:53" ht="12.75" thickBot="1"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5"/>
      <c r="BA6" s="85"/>
    </row>
    <row r="7" spans="2:53" ht="18.75" customHeight="1">
      <c r="B7" s="86" t="s">
        <v>1</v>
      </c>
      <c r="C7" s="87">
        <v>2005</v>
      </c>
      <c r="D7" s="88"/>
      <c r="E7" s="89"/>
      <c r="F7" s="90">
        <v>2006</v>
      </c>
      <c r="G7" s="91"/>
      <c r="H7" s="92"/>
      <c r="I7" s="90">
        <v>2007</v>
      </c>
      <c r="J7" s="91"/>
      <c r="K7" s="92"/>
      <c r="L7" s="90">
        <v>2008</v>
      </c>
      <c r="M7" s="91"/>
      <c r="N7" s="92"/>
      <c r="O7" s="90">
        <v>2009</v>
      </c>
      <c r="P7" s="91"/>
      <c r="Q7" s="92"/>
      <c r="R7" s="90">
        <v>2010</v>
      </c>
      <c r="S7" s="91"/>
      <c r="T7" s="92"/>
      <c r="U7" s="90">
        <v>2011</v>
      </c>
      <c r="V7" s="91"/>
      <c r="W7" s="92"/>
      <c r="X7" s="90">
        <v>2012</v>
      </c>
      <c r="Y7" s="91"/>
      <c r="Z7" s="92"/>
      <c r="AA7" s="90">
        <v>2013</v>
      </c>
      <c r="AB7" s="91"/>
      <c r="AC7" s="92"/>
      <c r="AD7" s="90">
        <v>2014</v>
      </c>
      <c r="AE7" s="91"/>
      <c r="AF7" s="92"/>
      <c r="AG7" s="90">
        <v>2015</v>
      </c>
      <c r="AH7" s="91"/>
      <c r="AI7" s="92"/>
      <c r="AJ7" s="90">
        <v>2016</v>
      </c>
      <c r="AK7" s="91"/>
      <c r="AL7" s="92"/>
      <c r="AM7" s="90">
        <v>2017</v>
      </c>
      <c r="AN7" s="91"/>
      <c r="AO7" s="92"/>
      <c r="AP7" s="90">
        <v>2018</v>
      </c>
      <c r="AQ7" s="91"/>
      <c r="AR7" s="92"/>
      <c r="AS7" s="90">
        <v>2019</v>
      </c>
      <c r="AT7" s="91"/>
      <c r="AU7" s="92"/>
      <c r="AV7" s="90">
        <v>2020</v>
      </c>
      <c r="AW7" s="91"/>
      <c r="AX7" s="92"/>
      <c r="AY7" s="93" t="s">
        <v>2</v>
      </c>
      <c r="AZ7" s="93"/>
      <c r="BA7" s="94"/>
    </row>
    <row r="8" spans="2:53" ht="59.25" customHeight="1" thickBot="1">
      <c r="B8" s="95"/>
      <c r="C8" s="96" t="s">
        <v>3</v>
      </c>
      <c r="D8" s="96" t="s">
        <v>4</v>
      </c>
      <c r="E8" s="97" t="s">
        <v>2</v>
      </c>
      <c r="F8" s="96" t="s">
        <v>3</v>
      </c>
      <c r="G8" s="96" t="s">
        <v>4</v>
      </c>
      <c r="H8" s="97" t="s">
        <v>2</v>
      </c>
      <c r="I8" s="96" t="s">
        <v>3</v>
      </c>
      <c r="J8" s="96" t="s">
        <v>4</v>
      </c>
      <c r="K8" s="97" t="s">
        <v>2</v>
      </c>
      <c r="L8" s="96" t="s">
        <v>3</v>
      </c>
      <c r="M8" s="96" t="s">
        <v>4</v>
      </c>
      <c r="N8" s="97" t="s">
        <v>2</v>
      </c>
      <c r="O8" s="96" t="s">
        <v>3</v>
      </c>
      <c r="P8" s="96" t="s">
        <v>4</v>
      </c>
      <c r="Q8" s="97" t="s">
        <v>2</v>
      </c>
      <c r="R8" s="96" t="s">
        <v>3</v>
      </c>
      <c r="S8" s="96" t="s">
        <v>4</v>
      </c>
      <c r="T8" s="97" t="s">
        <v>2</v>
      </c>
      <c r="U8" s="96" t="s">
        <v>3</v>
      </c>
      <c r="V8" s="96" t="s">
        <v>4</v>
      </c>
      <c r="W8" s="97" t="s">
        <v>2</v>
      </c>
      <c r="X8" s="96" t="s">
        <v>3</v>
      </c>
      <c r="Y8" s="96" t="s">
        <v>4</v>
      </c>
      <c r="Z8" s="97" t="s">
        <v>2</v>
      </c>
      <c r="AA8" s="96" t="s">
        <v>3</v>
      </c>
      <c r="AB8" s="96" t="s">
        <v>4</v>
      </c>
      <c r="AC8" s="97" t="s">
        <v>2</v>
      </c>
      <c r="AD8" s="96" t="s">
        <v>3</v>
      </c>
      <c r="AE8" s="96" t="s">
        <v>4</v>
      </c>
      <c r="AF8" s="97" t="s">
        <v>2</v>
      </c>
      <c r="AG8" s="96" t="s">
        <v>3</v>
      </c>
      <c r="AH8" s="96" t="s">
        <v>4</v>
      </c>
      <c r="AI8" s="97" t="s">
        <v>2</v>
      </c>
      <c r="AJ8" s="96" t="s">
        <v>3</v>
      </c>
      <c r="AK8" s="96" t="s">
        <v>4</v>
      </c>
      <c r="AL8" s="97" t="s">
        <v>2</v>
      </c>
      <c r="AM8" s="96" t="s">
        <v>3</v>
      </c>
      <c r="AN8" s="96" t="s">
        <v>4</v>
      </c>
      <c r="AO8" s="97" t="s">
        <v>2</v>
      </c>
      <c r="AP8" s="96" t="s">
        <v>3</v>
      </c>
      <c r="AQ8" s="96" t="s">
        <v>4</v>
      </c>
      <c r="AR8" s="97" t="s">
        <v>2</v>
      </c>
      <c r="AS8" s="96" t="s">
        <v>3</v>
      </c>
      <c r="AT8" s="96" t="s">
        <v>4</v>
      </c>
      <c r="AU8" s="97" t="s">
        <v>2</v>
      </c>
      <c r="AV8" s="96" t="s">
        <v>3</v>
      </c>
      <c r="AW8" s="96" t="s">
        <v>4</v>
      </c>
      <c r="AX8" s="98" t="s">
        <v>2</v>
      </c>
      <c r="AY8" s="96" t="s">
        <v>3</v>
      </c>
      <c r="AZ8" s="96" t="s">
        <v>4</v>
      </c>
      <c r="BA8" s="98" t="s">
        <v>2</v>
      </c>
    </row>
    <row r="9" spans="2:53" ht="12">
      <c r="B9" s="99" t="s">
        <v>5</v>
      </c>
      <c r="C9" s="100">
        <v>1</v>
      </c>
      <c r="D9" s="100">
        <v>27</v>
      </c>
      <c r="E9" s="101">
        <v>28</v>
      </c>
      <c r="F9" s="100">
        <v>1</v>
      </c>
      <c r="G9" s="100">
        <v>12</v>
      </c>
      <c r="H9" s="101">
        <v>13</v>
      </c>
      <c r="I9" s="100">
        <v>103</v>
      </c>
      <c r="J9" s="100">
        <v>64</v>
      </c>
      <c r="K9" s="101">
        <v>167</v>
      </c>
      <c r="L9" s="102">
        <v>28</v>
      </c>
      <c r="M9" s="103">
        <v>37</v>
      </c>
      <c r="N9" s="101">
        <v>65</v>
      </c>
      <c r="O9" s="102">
        <v>90</v>
      </c>
      <c r="P9" s="103">
        <v>128</v>
      </c>
      <c r="Q9" s="101">
        <v>218</v>
      </c>
      <c r="R9" s="102">
        <v>157</v>
      </c>
      <c r="S9" s="103">
        <v>119</v>
      </c>
      <c r="T9" s="101">
        <v>276</v>
      </c>
      <c r="U9" s="102">
        <v>174</v>
      </c>
      <c r="V9" s="103">
        <v>96</v>
      </c>
      <c r="W9" s="101">
        <v>270</v>
      </c>
      <c r="X9" s="102">
        <v>177</v>
      </c>
      <c r="Y9" s="103">
        <v>128</v>
      </c>
      <c r="Z9" s="101">
        <v>305</v>
      </c>
      <c r="AA9" s="104">
        <v>152</v>
      </c>
      <c r="AB9" s="105">
        <v>158</v>
      </c>
      <c r="AC9" s="101">
        <v>310</v>
      </c>
      <c r="AD9" s="100">
        <v>165</v>
      </c>
      <c r="AE9" s="100">
        <v>116</v>
      </c>
      <c r="AF9" s="101">
        <v>281</v>
      </c>
      <c r="AG9" s="100">
        <v>135</v>
      </c>
      <c r="AH9" s="100">
        <v>94</v>
      </c>
      <c r="AI9" s="101">
        <v>229</v>
      </c>
      <c r="AJ9" s="100">
        <v>234</v>
      </c>
      <c r="AK9" s="100">
        <v>152</v>
      </c>
      <c r="AL9" s="101">
        <v>386</v>
      </c>
      <c r="AM9" s="100">
        <v>291</v>
      </c>
      <c r="AN9" s="100">
        <v>251</v>
      </c>
      <c r="AO9" s="101">
        <v>542</v>
      </c>
      <c r="AP9" s="100">
        <v>263</v>
      </c>
      <c r="AQ9" s="100">
        <v>185</v>
      </c>
      <c r="AR9" s="101">
        <v>448</v>
      </c>
      <c r="AS9" s="100">
        <v>316</v>
      </c>
      <c r="AT9" s="100">
        <f>140+20+44</f>
        <v>204</v>
      </c>
      <c r="AU9" s="106">
        <f>AS9+AT9</f>
        <v>520</v>
      </c>
      <c r="AV9" s="107">
        <f>Detalle!R9</f>
        <v>292</v>
      </c>
      <c r="AW9" s="107">
        <f>Detalle!R10+Detalle!R11+Detalle!R12</f>
        <v>217</v>
      </c>
      <c r="AX9" s="108">
        <f>AV9+AW9</f>
        <v>509</v>
      </c>
      <c r="AY9" s="109">
        <f>2537+AV9</f>
        <v>2829</v>
      </c>
      <c r="AZ9" s="110">
        <f>1771+AW9</f>
        <v>1988</v>
      </c>
      <c r="BA9" s="111">
        <f>AY9+AZ9</f>
        <v>4817</v>
      </c>
    </row>
    <row r="10" spans="2:53" ht="12">
      <c r="B10" s="99" t="s">
        <v>6</v>
      </c>
      <c r="C10" s="100">
        <v>0</v>
      </c>
      <c r="D10" s="100">
        <v>0</v>
      </c>
      <c r="E10" s="101">
        <v>0</v>
      </c>
      <c r="F10" s="100">
        <v>0</v>
      </c>
      <c r="G10" s="100">
        <v>0</v>
      </c>
      <c r="H10" s="101">
        <v>0</v>
      </c>
      <c r="I10" s="100">
        <v>5</v>
      </c>
      <c r="J10" s="100">
        <v>0</v>
      </c>
      <c r="K10" s="101">
        <v>5</v>
      </c>
      <c r="L10" s="104">
        <v>18</v>
      </c>
      <c r="M10" s="103">
        <v>0</v>
      </c>
      <c r="N10" s="101">
        <v>18</v>
      </c>
      <c r="O10" s="104">
        <v>10</v>
      </c>
      <c r="P10" s="103">
        <v>0</v>
      </c>
      <c r="Q10" s="101">
        <v>10</v>
      </c>
      <c r="R10" s="104">
        <v>18</v>
      </c>
      <c r="S10" s="103">
        <v>0</v>
      </c>
      <c r="T10" s="101">
        <v>18</v>
      </c>
      <c r="U10" s="104">
        <v>27</v>
      </c>
      <c r="V10" s="103">
        <v>0</v>
      </c>
      <c r="W10" s="101">
        <v>27</v>
      </c>
      <c r="X10" s="104">
        <v>18</v>
      </c>
      <c r="Y10" s="103">
        <v>0</v>
      </c>
      <c r="Z10" s="101">
        <v>18</v>
      </c>
      <c r="AA10" s="102">
        <v>13</v>
      </c>
      <c r="AB10" s="105">
        <v>0</v>
      </c>
      <c r="AC10" s="101">
        <v>13</v>
      </c>
      <c r="AD10" s="100">
        <v>19</v>
      </c>
      <c r="AE10" s="100">
        <v>0</v>
      </c>
      <c r="AF10" s="101">
        <v>19</v>
      </c>
      <c r="AG10" s="100">
        <v>30</v>
      </c>
      <c r="AH10" s="100">
        <v>0</v>
      </c>
      <c r="AI10" s="101">
        <v>30</v>
      </c>
      <c r="AJ10" s="100">
        <v>17</v>
      </c>
      <c r="AK10" s="100">
        <v>0</v>
      </c>
      <c r="AL10" s="101">
        <v>17</v>
      </c>
      <c r="AM10" s="100">
        <v>27</v>
      </c>
      <c r="AN10" s="100">
        <v>0</v>
      </c>
      <c r="AO10" s="101">
        <v>27</v>
      </c>
      <c r="AP10" s="100">
        <v>25</v>
      </c>
      <c r="AQ10" s="100">
        <v>0</v>
      </c>
      <c r="AR10" s="101">
        <v>25</v>
      </c>
      <c r="AS10" s="100">
        <v>38</v>
      </c>
      <c r="AT10" s="100">
        <v>0</v>
      </c>
      <c r="AU10" s="106">
        <f aca="true" t="shared" si="0" ref="AU10:AU37">AS10+AT10</f>
        <v>38</v>
      </c>
      <c r="AV10" s="107">
        <v>31</v>
      </c>
      <c r="AW10" s="107">
        <v>0</v>
      </c>
      <c r="AX10" s="108">
        <f aca="true" t="shared" si="1" ref="AX10:AX37">AV10+AW10</f>
        <v>31</v>
      </c>
      <c r="AY10" s="112">
        <f>265+AV10</f>
        <v>296</v>
      </c>
      <c r="AZ10" s="113">
        <v>0</v>
      </c>
      <c r="BA10" s="111">
        <f aca="true" t="shared" si="2" ref="BA10:BA37">AY10+AZ10</f>
        <v>296</v>
      </c>
    </row>
    <row r="11" spans="2:53" ht="12">
      <c r="B11" s="99" t="s">
        <v>7</v>
      </c>
      <c r="C11" s="100">
        <v>21</v>
      </c>
      <c r="D11" s="100">
        <v>19</v>
      </c>
      <c r="E11" s="101">
        <v>40</v>
      </c>
      <c r="F11" s="100">
        <v>25</v>
      </c>
      <c r="G11" s="100">
        <v>0</v>
      </c>
      <c r="H11" s="101">
        <v>25</v>
      </c>
      <c r="I11" s="100">
        <v>117</v>
      </c>
      <c r="J11" s="100">
        <v>3</v>
      </c>
      <c r="K11" s="101">
        <v>120</v>
      </c>
      <c r="L11" s="114">
        <v>73</v>
      </c>
      <c r="M11" s="103">
        <v>4</v>
      </c>
      <c r="N11" s="101">
        <v>77</v>
      </c>
      <c r="O11" s="104">
        <v>170</v>
      </c>
      <c r="P11" s="103">
        <v>8</v>
      </c>
      <c r="Q11" s="101">
        <v>178</v>
      </c>
      <c r="R11" s="104">
        <v>251</v>
      </c>
      <c r="S11" s="103">
        <v>22</v>
      </c>
      <c r="T11" s="101">
        <v>273</v>
      </c>
      <c r="U11" s="104">
        <v>319</v>
      </c>
      <c r="V11" s="103">
        <v>25</v>
      </c>
      <c r="W11" s="101">
        <v>344</v>
      </c>
      <c r="X11" s="104">
        <v>173</v>
      </c>
      <c r="Y11" s="103">
        <v>262</v>
      </c>
      <c r="Z11" s="101">
        <v>435</v>
      </c>
      <c r="AA11" s="104">
        <v>224</v>
      </c>
      <c r="AB11" s="105">
        <v>291</v>
      </c>
      <c r="AC11" s="101">
        <v>515</v>
      </c>
      <c r="AD11" s="100">
        <v>226</v>
      </c>
      <c r="AE11" s="100">
        <v>308</v>
      </c>
      <c r="AF11" s="101">
        <v>534</v>
      </c>
      <c r="AG11" s="100">
        <v>268</v>
      </c>
      <c r="AH11" s="100">
        <v>781</v>
      </c>
      <c r="AI11" s="101">
        <v>1049</v>
      </c>
      <c r="AJ11" s="100">
        <v>246</v>
      </c>
      <c r="AK11" s="100">
        <v>423</v>
      </c>
      <c r="AL11" s="101">
        <v>669</v>
      </c>
      <c r="AM11" s="100">
        <v>309</v>
      </c>
      <c r="AN11" s="100">
        <v>737</v>
      </c>
      <c r="AO11" s="101">
        <v>1046</v>
      </c>
      <c r="AP11" s="100">
        <v>290</v>
      </c>
      <c r="AQ11" s="100">
        <v>255</v>
      </c>
      <c r="AR11" s="101">
        <v>545</v>
      </c>
      <c r="AS11" s="100">
        <v>334</v>
      </c>
      <c r="AT11" s="100">
        <f>78+18+18+16+211</f>
        <v>341</v>
      </c>
      <c r="AU11" s="106">
        <f t="shared" si="0"/>
        <v>675</v>
      </c>
      <c r="AV11" s="107">
        <f>Detalle!R16</f>
        <v>405</v>
      </c>
      <c r="AW11" s="107">
        <f>Detalle!R17+Detalle!R18+Detalle!R19+Detalle!R20+Detalle!R21+Detalle!R22</f>
        <v>207</v>
      </c>
      <c r="AX11" s="108">
        <f t="shared" si="1"/>
        <v>612</v>
      </c>
      <c r="AY11" s="112">
        <f>3046+AV11</f>
        <v>3451</v>
      </c>
      <c r="AZ11" s="115">
        <f>3479+AW11</f>
        <v>3686</v>
      </c>
      <c r="BA11" s="111">
        <f t="shared" si="2"/>
        <v>7137</v>
      </c>
    </row>
    <row r="12" spans="2:53" ht="12">
      <c r="B12" s="99" t="s">
        <v>141</v>
      </c>
      <c r="C12" s="100">
        <v>0</v>
      </c>
      <c r="D12" s="100">
        <v>0</v>
      </c>
      <c r="E12" s="101">
        <v>0</v>
      </c>
      <c r="F12" s="100">
        <v>0</v>
      </c>
      <c r="G12" s="100">
        <v>0</v>
      </c>
      <c r="H12" s="101">
        <v>0</v>
      </c>
      <c r="I12" s="100">
        <v>0</v>
      </c>
      <c r="J12" s="100">
        <v>0</v>
      </c>
      <c r="K12" s="101">
        <v>0</v>
      </c>
      <c r="L12" s="114">
        <v>0</v>
      </c>
      <c r="M12" s="103">
        <v>0</v>
      </c>
      <c r="N12" s="101">
        <v>0</v>
      </c>
      <c r="O12" s="104">
        <v>0</v>
      </c>
      <c r="P12" s="103">
        <v>0</v>
      </c>
      <c r="Q12" s="101">
        <v>0</v>
      </c>
      <c r="R12" s="104">
        <v>0</v>
      </c>
      <c r="S12" s="103">
        <v>0</v>
      </c>
      <c r="T12" s="101">
        <v>0</v>
      </c>
      <c r="U12" s="104">
        <v>0</v>
      </c>
      <c r="V12" s="103">
        <v>0</v>
      </c>
      <c r="W12" s="101">
        <v>0</v>
      </c>
      <c r="X12" s="104">
        <v>0</v>
      </c>
      <c r="Y12" s="103">
        <v>0</v>
      </c>
      <c r="Z12" s="101">
        <v>0</v>
      </c>
      <c r="AA12" s="104">
        <v>0</v>
      </c>
      <c r="AB12" s="105">
        <v>0</v>
      </c>
      <c r="AC12" s="101">
        <v>0</v>
      </c>
      <c r="AD12" s="100">
        <v>0</v>
      </c>
      <c r="AE12" s="100">
        <v>0</v>
      </c>
      <c r="AF12" s="101">
        <v>0</v>
      </c>
      <c r="AG12" s="100">
        <v>0</v>
      </c>
      <c r="AH12" s="100">
        <v>0</v>
      </c>
      <c r="AI12" s="101">
        <v>0</v>
      </c>
      <c r="AJ12" s="100">
        <v>0</v>
      </c>
      <c r="AK12" s="100">
        <v>0</v>
      </c>
      <c r="AL12" s="101">
        <v>0</v>
      </c>
      <c r="AM12" s="100">
        <v>9</v>
      </c>
      <c r="AN12" s="100">
        <v>0</v>
      </c>
      <c r="AO12" s="101">
        <v>9</v>
      </c>
      <c r="AP12" s="100">
        <v>483</v>
      </c>
      <c r="AQ12" s="100">
        <v>0</v>
      </c>
      <c r="AR12" s="101">
        <v>483</v>
      </c>
      <c r="AS12" s="100">
        <v>627</v>
      </c>
      <c r="AT12" s="100">
        <v>0</v>
      </c>
      <c r="AU12" s="106">
        <f t="shared" si="0"/>
        <v>627</v>
      </c>
      <c r="AV12" s="107">
        <f>Detalle!R24</f>
        <v>711</v>
      </c>
      <c r="AW12" s="107">
        <v>0</v>
      </c>
      <c r="AX12" s="108">
        <f t="shared" si="1"/>
        <v>711</v>
      </c>
      <c r="AY12" s="112">
        <f>1119+AV12</f>
        <v>1830</v>
      </c>
      <c r="AZ12" s="113">
        <v>0</v>
      </c>
      <c r="BA12" s="111">
        <f t="shared" si="2"/>
        <v>1830</v>
      </c>
    </row>
    <row r="13" spans="2:53" ht="12">
      <c r="B13" s="99" t="s">
        <v>8</v>
      </c>
      <c r="C13" s="100">
        <v>59</v>
      </c>
      <c r="D13" s="100">
        <v>9</v>
      </c>
      <c r="E13" s="101">
        <v>68</v>
      </c>
      <c r="F13" s="100">
        <v>31</v>
      </c>
      <c r="G13" s="100">
        <v>43</v>
      </c>
      <c r="H13" s="101">
        <v>74</v>
      </c>
      <c r="I13" s="100">
        <v>158</v>
      </c>
      <c r="J13" s="100">
        <v>104</v>
      </c>
      <c r="K13" s="101">
        <v>262</v>
      </c>
      <c r="L13" s="100">
        <v>89</v>
      </c>
      <c r="M13" s="103">
        <v>69</v>
      </c>
      <c r="N13" s="101">
        <v>158</v>
      </c>
      <c r="O13" s="100">
        <v>221</v>
      </c>
      <c r="P13" s="103">
        <v>140</v>
      </c>
      <c r="Q13" s="101">
        <v>361</v>
      </c>
      <c r="R13" s="100">
        <v>335</v>
      </c>
      <c r="S13" s="103">
        <v>325</v>
      </c>
      <c r="T13" s="101">
        <v>660</v>
      </c>
      <c r="U13" s="116">
        <v>325</v>
      </c>
      <c r="V13" s="103">
        <v>296</v>
      </c>
      <c r="W13" s="101">
        <v>621</v>
      </c>
      <c r="X13" s="116">
        <v>350</v>
      </c>
      <c r="Y13" s="103">
        <v>379</v>
      </c>
      <c r="Z13" s="101">
        <v>729</v>
      </c>
      <c r="AA13" s="104">
        <v>415</v>
      </c>
      <c r="AB13" s="105">
        <v>431</v>
      </c>
      <c r="AC13" s="101">
        <v>846</v>
      </c>
      <c r="AD13" s="100">
        <v>316</v>
      </c>
      <c r="AE13" s="100">
        <v>578</v>
      </c>
      <c r="AF13" s="101">
        <v>894</v>
      </c>
      <c r="AG13" s="100">
        <v>319</v>
      </c>
      <c r="AH13" s="100">
        <v>478</v>
      </c>
      <c r="AI13" s="101">
        <v>797</v>
      </c>
      <c r="AJ13" s="100">
        <v>571</v>
      </c>
      <c r="AK13" s="100">
        <v>833</v>
      </c>
      <c r="AL13" s="101">
        <v>1404</v>
      </c>
      <c r="AM13" s="100">
        <v>832</v>
      </c>
      <c r="AN13" s="100">
        <v>1217</v>
      </c>
      <c r="AO13" s="101">
        <v>2049</v>
      </c>
      <c r="AP13" s="100">
        <v>665</v>
      </c>
      <c r="AQ13" s="100">
        <v>1520</v>
      </c>
      <c r="AR13" s="101">
        <v>2185</v>
      </c>
      <c r="AS13" s="100">
        <v>1099</v>
      </c>
      <c r="AT13" s="100">
        <f>68+40+114+1664+42+41+4+11</f>
        <v>1984</v>
      </c>
      <c r="AU13" s="106">
        <f t="shared" si="0"/>
        <v>3083</v>
      </c>
      <c r="AV13" s="107">
        <f>Detalle!R26</f>
        <v>653</v>
      </c>
      <c r="AW13" s="107">
        <f>Detalle!R27+Detalle!R28+Detalle!R29+Detalle!R30+Detalle!R31+Detalle!R32+Detalle!R33+Detalle!R34</f>
        <v>1223</v>
      </c>
      <c r="AX13" s="108">
        <f t="shared" si="1"/>
        <v>1876</v>
      </c>
      <c r="AY13" s="112">
        <f>5785+AV13</f>
        <v>6438</v>
      </c>
      <c r="AZ13" s="115">
        <f>8406+AW13</f>
        <v>9629</v>
      </c>
      <c r="BA13" s="111">
        <f t="shared" si="2"/>
        <v>16067</v>
      </c>
    </row>
    <row r="14" spans="2:53" ht="12">
      <c r="B14" s="99" t="s">
        <v>15</v>
      </c>
      <c r="C14" s="100">
        <v>1</v>
      </c>
      <c r="D14" s="100">
        <v>0</v>
      </c>
      <c r="E14" s="101">
        <v>1</v>
      </c>
      <c r="F14" s="100">
        <v>1</v>
      </c>
      <c r="G14" s="100">
        <v>0</v>
      </c>
      <c r="H14" s="101">
        <v>1</v>
      </c>
      <c r="I14" s="100">
        <v>31</v>
      </c>
      <c r="J14" s="100">
        <v>0</v>
      </c>
      <c r="K14" s="101">
        <v>31</v>
      </c>
      <c r="L14" s="100">
        <v>30</v>
      </c>
      <c r="M14" s="103">
        <v>0</v>
      </c>
      <c r="N14" s="101">
        <v>30</v>
      </c>
      <c r="O14" s="100">
        <v>65</v>
      </c>
      <c r="P14" s="103">
        <v>0</v>
      </c>
      <c r="Q14" s="101">
        <v>65</v>
      </c>
      <c r="R14" s="100">
        <v>134</v>
      </c>
      <c r="S14" s="103">
        <v>0</v>
      </c>
      <c r="T14" s="101">
        <v>134</v>
      </c>
      <c r="U14" s="116">
        <v>97</v>
      </c>
      <c r="V14" s="103">
        <v>0</v>
      </c>
      <c r="W14" s="101">
        <v>97</v>
      </c>
      <c r="X14" s="100">
        <v>96</v>
      </c>
      <c r="Y14" s="103">
        <v>0</v>
      </c>
      <c r="Z14" s="101">
        <v>96</v>
      </c>
      <c r="AA14" s="100">
        <v>101</v>
      </c>
      <c r="AB14" s="105">
        <v>0</v>
      </c>
      <c r="AC14" s="101">
        <v>101</v>
      </c>
      <c r="AD14" s="100">
        <v>199</v>
      </c>
      <c r="AE14" s="100">
        <v>0</v>
      </c>
      <c r="AF14" s="101">
        <v>199</v>
      </c>
      <c r="AG14" s="100">
        <v>211</v>
      </c>
      <c r="AH14" s="100">
        <v>0</v>
      </c>
      <c r="AI14" s="101">
        <v>211</v>
      </c>
      <c r="AJ14" s="100">
        <v>0</v>
      </c>
      <c r="AK14" s="100">
        <v>0</v>
      </c>
      <c r="AL14" s="101">
        <v>0</v>
      </c>
      <c r="AM14" s="100">
        <v>0</v>
      </c>
      <c r="AN14" s="100">
        <v>0</v>
      </c>
      <c r="AO14" s="101">
        <v>0</v>
      </c>
      <c r="AP14" s="100">
        <v>146</v>
      </c>
      <c r="AQ14" s="100">
        <v>0</v>
      </c>
      <c r="AR14" s="101">
        <v>146</v>
      </c>
      <c r="AS14" s="100">
        <v>186</v>
      </c>
      <c r="AT14" s="100">
        <v>0</v>
      </c>
      <c r="AU14" s="106">
        <f t="shared" si="0"/>
        <v>186</v>
      </c>
      <c r="AV14" s="107">
        <f>Detalle!R36</f>
        <v>107</v>
      </c>
      <c r="AW14" s="107">
        <v>0</v>
      </c>
      <c r="AX14" s="108">
        <f t="shared" si="1"/>
        <v>107</v>
      </c>
      <c r="AY14" s="112">
        <f>1298+AV14</f>
        <v>1405</v>
      </c>
      <c r="AZ14" s="113">
        <v>0</v>
      </c>
      <c r="BA14" s="111">
        <f t="shared" si="2"/>
        <v>1405</v>
      </c>
    </row>
    <row r="15" spans="2:53" ht="12">
      <c r="B15" s="117" t="s">
        <v>152</v>
      </c>
      <c r="C15" s="105">
        <v>0</v>
      </c>
      <c r="D15" s="105">
        <v>0</v>
      </c>
      <c r="E15" s="118">
        <v>0</v>
      </c>
      <c r="F15" s="105">
        <v>0</v>
      </c>
      <c r="G15" s="105">
        <v>0</v>
      </c>
      <c r="H15" s="118">
        <v>0</v>
      </c>
      <c r="I15" s="105">
        <v>0</v>
      </c>
      <c r="J15" s="105">
        <v>0</v>
      </c>
      <c r="K15" s="118">
        <v>0</v>
      </c>
      <c r="L15" s="105">
        <v>0</v>
      </c>
      <c r="M15" s="105">
        <v>0</v>
      </c>
      <c r="N15" s="118">
        <v>0</v>
      </c>
      <c r="O15" s="105">
        <v>0</v>
      </c>
      <c r="P15" s="103">
        <v>0</v>
      </c>
      <c r="Q15" s="118">
        <v>0</v>
      </c>
      <c r="R15" s="105">
        <v>0</v>
      </c>
      <c r="S15" s="105">
        <v>0</v>
      </c>
      <c r="T15" s="118">
        <v>0</v>
      </c>
      <c r="U15" s="105">
        <v>0</v>
      </c>
      <c r="V15" s="105">
        <v>0</v>
      </c>
      <c r="W15" s="118">
        <v>0</v>
      </c>
      <c r="X15" s="105">
        <v>0</v>
      </c>
      <c r="Y15" s="105">
        <v>0</v>
      </c>
      <c r="Z15" s="118">
        <v>0</v>
      </c>
      <c r="AA15" s="105">
        <v>0</v>
      </c>
      <c r="AB15" s="105">
        <v>0</v>
      </c>
      <c r="AC15" s="118">
        <v>0</v>
      </c>
      <c r="AD15" s="119">
        <v>0</v>
      </c>
      <c r="AE15" s="120">
        <v>0</v>
      </c>
      <c r="AF15" s="121">
        <v>0</v>
      </c>
      <c r="AG15" s="119">
        <v>0</v>
      </c>
      <c r="AH15" s="122">
        <v>0</v>
      </c>
      <c r="AI15" s="121">
        <v>0</v>
      </c>
      <c r="AJ15" s="119">
        <v>0</v>
      </c>
      <c r="AK15" s="122">
        <v>0</v>
      </c>
      <c r="AL15" s="121">
        <v>0</v>
      </c>
      <c r="AM15" s="120">
        <v>0</v>
      </c>
      <c r="AN15" s="120">
        <v>0</v>
      </c>
      <c r="AO15" s="121">
        <v>0</v>
      </c>
      <c r="AP15" s="120">
        <v>253</v>
      </c>
      <c r="AQ15" s="120">
        <v>0</v>
      </c>
      <c r="AR15" s="121">
        <v>253</v>
      </c>
      <c r="AS15" s="120">
        <v>255</v>
      </c>
      <c r="AT15" s="120">
        <v>0</v>
      </c>
      <c r="AU15" s="106">
        <f t="shared" si="0"/>
        <v>255</v>
      </c>
      <c r="AV15" s="107">
        <f>Detalle!R38</f>
        <v>224</v>
      </c>
      <c r="AW15" s="107">
        <v>0</v>
      </c>
      <c r="AX15" s="108">
        <f t="shared" si="1"/>
        <v>224</v>
      </c>
      <c r="AY15" s="112">
        <f>508+AV15</f>
        <v>732</v>
      </c>
      <c r="AZ15" s="113">
        <v>0</v>
      </c>
      <c r="BA15" s="111">
        <f t="shared" si="2"/>
        <v>732</v>
      </c>
    </row>
    <row r="16" spans="2:53" ht="12">
      <c r="B16" s="99" t="s">
        <v>9</v>
      </c>
      <c r="C16" s="100">
        <v>0</v>
      </c>
      <c r="D16" s="100">
        <v>4</v>
      </c>
      <c r="E16" s="101">
        <v>4</v>
      </c>
      <c r="F16" s="100">
        <v>4</v>
      </c>
      <c r="G16" s="100">
        <v>14</v>
      </c>
      <c r="H16" s="101">
        <v>18</v>
      </c>
      <c r="I16" s="100">
        <v>17</v>
      </c>
      <c r="J16" s="100">
        <v>8</v>
      </c>
      <c r="K16" s="101">
        <v>25</v>
      </c>
      <c r="L16" s="100">
        <v>14</v>
      </c>
      <c r="M16" s="103">
        <v>68</v>
      </c>
      <c r="N16" s="101">
        <v>82</v>
      </c>
      <c r="O16" s="100">
        <v>39</v>
      </c>
      <c r="P16" s="103">
        <v>62</v>
      </c>
      <c r="Q16" s="101">
        <v>101</v>
      </c>
      <c r="R16" s="100">
        <v>43</v>
      </c>
      <c r="S16" s="103">
        <v>65</v>
      </c>
      <c r="T16" s="101">
        <v>108</v>
      </c>
      <c r="U16" s="116">
        <v>38</v>
      </c>
      <c r="V16" s="103">
        <v>87</v>
      </c>
      <c r="W16" s="101">
        <v>125</v>
      </c>
      <c r="X16" s="100">
        <v>59</v>
      </c>
      <c r="Y16" s="103">
        <v>115</v>
      </c>
      <c r="Z16" s="101">
        <v>174</v>
      </c>
      <c r="AA16" s="100">
        <v>43</v>
      </c>
      <c r="AB16" s="105">
        <v>186</v>
      </c>
      <c r="AC16" s="101">
        <v>229</v>
      </c>
      <c r="AD16" s="100">
        <v>32</v>
      </c>
      <c r="AE16" s="100">
        <v>292</v>
      </c>
      <c r="AF16" s="101">
        <v>324</v>
      </c>
      <c r="AG16" s="100">
        <v>11</v>
      </c>
      <c r="AH16" s="100">
        <v>108</v>
      </c>
      <c r="AI16" s="101">
        <v>119</v>
      </c>
      <c r="AJ16" s="100">
        <v>44</v>
      </c>
      <c r="AK16" s="100">
        <v>165</v>
      </c>
      <c r="AL16" s="101">
        <v>209</v>
      </c>
      <c r="AM16" s="100">
        <v>57</v>
      </c>
      <c r="AN16" s="100">
        <v>150</v>
      </c>
      <c r="AO16" s="101">
        <v>207</v>
      </c>
      <c r="AP16" s="100">
        <v>77</v>
      </c>
      <c r="AQ16" s="100">
        <v>201</v>
      </c>
      <c r="AR16" s="101">
        <v>278</v>
      </c>
      <c r="AS16" s="100">
        <v>143</v>
      </c>
      <c r="AT16" s="100">
        <f>30+54+154+101</f>
        <v>339</v>
      </c>
      <c r="AU16" s="106">
        <f t="shared" si="0"/>
        <v>482</v>
      </c>
      <c r="AV16" s="107">
        <f>Detalle!R40</f>
        <v>132</v>
      </c>
      <c r="AW16" s="107">
        <f>Detalle!R41+Detalle!R42+Detalle!R43+Detalle!R44+Detalle!R45</f>
        <v>164</v>
      </c>
      <c r="AX16" s="108">
        <f t="shared" si="1"/>
        <v>296</v>
      </c>
      <c r="AY16" s="112">
        <f>621+AV16</f>
        <v>753</v>
      </c>
      <c r="AZ16" s="115">
        <f>1864+164</f>
        <v>2028</v>
      </c>
      <c r="BA16" s="111">
        <f t="shared" si="2"/>
        <v>2781</v>
      </c>
    </row>
    <row r="17" spans="2:53" ht="12">
      <c r="B17" s="99" t="s">
        <v>10</v>
      </c>
      <c r="C17" s="100">
        <v>10</v>
      </c>
      <c r="D17" s="100">
        <v>20</v>
      </c>
      <c r="E17" s="101">
        <v>30</v>
      </c>
      <c r="F17" s="100">
        <v>17</v>
      </c>
      <c r="G17" s="100">
        <v>16</v>
      </c>
      <c r="H17" s="101">
        <v>31</v>
      </c>
      <c r="I17" s="100">
        <v>112</v>
      </c>
      <c r="J17" s="100">
        <v>103</v>
      </c>
      <c r="K17" s="101">
        <v>269</v>
      </c>
      <c r="L17" s="100">
        <v>101</v>
      </c>
      <c r="M17" s="103">
        <v>1151</v>
      </c>
      <c r="N17" s="101">
        <v>1252</v>
      </c>
      <c r="O17" s="100">
        <v>144</v>
      </c>
      <c r="P17" s="103">
        <v>1256</v>
      </c>
      <c r="Q17" s="101">
        <v>1400</v>
      </c>
      <c r="R17" s="100">
        <v>244</v>
      </c>
      <c r="S17" s="103">
        <v>558</v>
      </c>
      <c r="T17" s="101">
        <v>802</v>
      </c>
      <c r="U17" s="116">
        <v>283</v>
      </c>
      <c r="V17" s="103">
        <v>694</v>
      </c>
      <c r="W17" s="101">
        <v>977</v>
      </c>
      <c r="X17" s="100">
        <v>215</v>
      </c>
      <c r="Y17" s="103">
        <v>820</v>
      </c>
      <c r="Z17" s="101">
        <v>1035</v>
      </c>
      <c r="AA17" s="100">
        <v>294</v>
      </c>
      <c r="AB17" s="105">
        <v>652</v>
      </c>
      <c r="AC17" s="101">
        <v>946</v>
      </c>
      <c r="AD17" s="100">
        <v>314</v>
      </c>
      <c r="AE17" s="100">
        <v>623</v>
      </c>
      <c r="AF17" s="101">
        <v>937</v>
      </c>
      <c r="AG17" s="100">
        <v>326</v>
      </c>
      <c r="AH17" s="100">
        <v>337</v>
      </c>
      <c r="AI17" s="101">
        <v>663</v>
      </c>
      <c r="AJ17" s="100">
        <v>682</v>
      </c>
      <c r="AK17" s="100">
        <v>686</v>
      </c>
      <c r="AL17" s="101">
        <v>1368</v>
      </c>
      <c r="AM17" s="100">
        <v>1227</v>
      </c>
      <c r="AN17" s="100">
        <v>896</v>
      </c>
      <c r="AO17" s="101">
        <v>2123</v>
      </c>
      <c r="AP17" s="100">
        <v>944</v>
      </c>
      <c r="AQ17" s="100">
        <v>2661</v>
      </c>
      <c r="AR17" s="101">
        <v>3605</v>
      </c>
      <c r="AS17" s="100">
        <v>1369</v>
      </c>
      <c r="AT17" s="100">
        <v>2819</v>
      </c>
      <c r="AU17" s="106">
        <f t="shared" si="0"/>
        <v>4188</v>
      </c>
      <c r="AV17" s="107">
        <f>Detalle!R47</f>
        <v>646</v>
      </c>
      <c r="AW17" s="107">
        <f>Detalle!R48+Detalle!R49+Detalle!R50+Detalle!R51+Detalle!R52+Detalle!R53+Detalle!R54+Detalle!R55+Detalle!R56+Detalle!R57+Detalle!R58+Detalle!R59+Detalle!R60+Detalle!R61+Detalle!R62+Detalle!R63+Detalle!R64+Detalle!R65+Detalle!R66+Detalle!R67+Detalle!R68+Detalle!R69+Detalle!R70+Detalle!R71+Detalle!R72+Detalle!R73+Detalle!R74+Detalle!R75+Detalle!R76+Detalle!R77+Detalle!R78+Detalle!R79+Detalle!R80+Detalle!R81+Detalle!R82+Detalle!R83+Detalle!R84+Detalle!R85+Detalle!R87+Detalle!R86+Detalle!R88+Detalle!R89+Detalle!R90+Detalle!R91+Detalle!R92</f>
        <v>1356</v>
      </c>
      <c r="AX17" s="108">
        <f t="shared" si="1"/>
        <v>2002</v>
      </c>
      <c r="AY17" s="112">
        <f>6292+AV17</f>
        <v>6938</v>
      </c>
      <c r="AZ17" s="115">
        <f>13334+AW17</f>
        <v>14690</v>
      </c>
      <c r="BA17" s="111">
        <f t="shared" si="2"/>
        <v>21628</v>
      </c>
    </row>
    <row r="18" spans="2:53" ht="12">
      <c r="B18" s="99" t="s">
        <v>119</v>
      </c>
      <c r="C18" s="100">
        <v>0</v>
      </c>
      <c r="D18" s="100">
        <v>0</v>
      </c>
      <c r="E18" s="101">
        <v>0</v>
      </c>
      <c r="F18" s="100">
        <v>0</v>
      </c>
      <c r="G18" s="100">
        <v>0</v>
      </c>
      <c r="H18" s="101">
        <v>0</v>
      </c>
      <c r="I18" s="100">
        <v>0</v>
      </c>
      <c r="J18" s="100">
        <v>0</v>
      </c>
      <c r="K18" s="101">
        <v>0</v>
      </c>
      <c r="L18" s="100">
        <v>0</v>
      </c>
      <c r="M18" s="103">
        <v>58</v>
      </c>
      <c r="N18" s="101">
        <v>58</v>
      </c>
      <c r="O18" s="100">
        <v>0</v>
      </c>
      <c r="P18" s="103">
        <v>144</v>
      </c>
      <c r="Q18" s="101">
        <v>144</v>
      </c>
      <c r="R18" s="100">
        <v>0</v>
      </c>
      <c r="S18" s="103">
        <v>194</v>
      </c>
      <c r="T18" s="101">
        <v>194</v>
      </c>
      <c r="U18" s="116">
        <v>0</v>
      </c>
      <c r="V18" s="103">
        <v>214</v>
      </c>
      <c r="W18" s="101">
        <v>214</v>
      </c>
      <c r="X18" s="100">
        <v>0</v>
      </c>
      <c r="Y18" s="103">
        <v>143</v>
      </c>
      <c r="Z18" s="101">
        <v>143</v>
      </c>
      <c r="AA18" s="100">
        <v>0</v>
      </c>
      <c r="AB18" s="105">
        <v>178</v>
      </c>
      <c r="AC18" s="101">
        <v>178</v>
      </c>
      <c r="AD18" s="100">
        <v>0</v>
      </c>
      <c r="AE18" s="100">
        <v>292</v>
      </c>
      <c r="AF18" s="101">
        <v>292</v>
      </c>
      <c r="AG18" s="100">
        <v>11</v>
      </c>
      <c r="AH18" s="100">
        <v>303</v>
      </c>
      <c r="AI18" s="101">
        <v>314</v>
      </c>
      <c r="AJ18" s="100">
        <v>202</v>
      </c>
      <c r="AK18" s="100">
        <v>388</v>
      </c>
      <c r="AL18" s="101">
        <v>590</v>
      </c>
      <c r="AM18" s="100">
        <v>253</v>
      </c>
      <c r="AN18" s="100">
        <v>563</v>
      </c>
      <c r="AO18" s="101">
        <v>816</v>
      </c>
      <c r="AP18" s="100">
        <v>8</v>
      </c>
      <c r="AQ18" s="100">
        <v>534</v>
      </c>
      <c r="AR18" s="101">
        <v>542</v>
      </c>
      <c r="AS18" s="100">
        <v>0</v>
      </c>
      <c r="AT18" s="100">
        <f>88+30+322+80+137</f>
        <v>657</v>
      </c>
      <c r="AU18" s="106">
        <f t="shared" si="0"/>
        <v>657</v>
      </c>
      <c r="AV18" s="107">
        <v>0</v>
      </c>
      <c r="AW18" s="107">
        <f>Detalle!R95+Detalle!R96+Detalle!R97+Detalle!R98+Detalle!R99</f>
        <v>502</v>
      </c>
      <c r="AX18" s="108">
        <f t="shared" si="1"/>
        <v>502</v>
      </c>
      <c r="AY18" s="123">
        <v>474</v>
      </c>
      <c r="AZ18" s="115">
        <f>3668+AW18</f>
        <v>4170</v>
      </c>
      <c r="BA18" s="111">
        <f t="shared" si="2"/>
        <v>4644</v>
      </c>
    </row>
    <row r="19" spans="2:53" ht="12">
      <c r="B19" s="99" t="s">
        <v>11</v>
      </c>
      <c r="C19" s="100">
        <v>2</v>
      </c>
      <c r="D19" s="100">
        <v>0</v>
      </c>
      <c r="E19" s="101">
        <v>2</v>
      </c>
      <c r="F19" s="100">
        <v>7</v>
      </c>
      <c r="G19" s="100">
        <v>0</v>
      </c>
      <c r="H19" s="101">
        <v>7</v>
      </c>
      <c r="I19" s="100">
        <v>10</v>
      </c>
      <c r="J19" s="100">
        <v>0</v>
      </c>
      <c r="K19" s="101">
        <v>10</v>
      </c>
      <c r="L19" s="100">
        <v>6</v>
      </c>
      <c r="M19" s="103">
        <v>0</v>
      </c>
      <c r="N19" s="101">
        <v>6</v>
      </c>
      <c r="O19" s="100">
        <v>28</v>
      </c>
      <c r="P19" s="103">
        <v>0</v>
      </c>
      <c r="Q19" s="101">
        <v>28</v>
      </c>
      <c r="R19" s="100">
        <v>56</v>
      </c>
      <c r="S19" s="103">
        <v>0</v>
      </c>
      <c r="T19" s="101">
        <v>56</v>
      </c>
      <c r="U19" s="116">
        <v>26</v>
      </c>
      <c r="V19" s="103">
        <v>0</v>
      </c>
      <c r="W19" s="101">
        <v>26</v>
      </c>
      <c r="X19" s="100">
        <v>22</v>
      </c>
      <c r="Y19" s="103">
        <v>0</v>
      </c>
      <c r="Z19" s="101">
        <v>22</v>
      </c>
      <c r="AA19" s="100">
        <v>34</v>
      </c>
      <c r="AB19" s="105">
        <v>0</v>
      </c>
      <c r="AC19" s="101">
        <v>34</v>
      </c>
      <c r="AD19" s="100">
        <v>80</v>
      </c>
      <c r="AE19" s="100">
        <v>0</v>
      </c>
      <c r="AF19" s="101">
        <v>80</v>
      </c>
      <c r="AG19" s="100">
        <v>63</v>
      </c>
      <c r="AH19" s="100">
        <v>0</v>
      </c>
      <c r="AI19" s="101">
        <v>63</v>
      </c>
      <c r="AJ19" s="100">
        <v>0</v>
      </c>
      <c r="AK19" s="100">
        <v>0</v>
      </c>
      <c r="AL19" s="101">
        <v>0</v>
      </c>
      <c r="AM19" s="100">
        <v>0</v>
      </c>
      <c r="AN19" s="100">
        <v>0</v>
      </c>
      <c r="AO19" s="101">
        <v>0</v>
      </c>
      <c r="AP19" s="100">
        <v>0</v>
      </c>
      <c r="AQ19" s="100">
        <v>0</v>
      </c>
      <c r="AR19" s="101">
        <v>0</v>
      </c>
      <c r="AS19" s="100">
        <v>0</v>
      </c>
      <c r="AT19" s="100">
        <v>0</v>
      </c>
      <c r="AU19" s="106">
        <f t="shared" si="0"/>
        <v>0</v>
      </c>
      <c r="AV19" s="107">
        <f>Detalle!R101</f>
        <v>0</v>
      </c>
      <c r="AW19" s="107">
        <v>0</v>
      </c>
      <c r="AX19" s="108">
        <f t="shared" si="1"/>
        <v>0</v>
      </c>
      <c r="AY19" s="123">
        <v>334</v>
      </c>
      <c r="AZ19" s="113">
        <v>0</v>
      </c>
      <c r="BA19" s="111">
        <f t="shared" si="2"/>
        <v>334</v>
      </c>
    </row>
    <row r="20" spans="2:53" ht="12">
      <c r="B20" s="99" t="s">
        <v>12</v>
      </c>
      <c r="C20" s="100">
        <v>1</v>
      </c>
      <c r="D20" s="100">
        <v>0</v>
      </c>
      <c r="E20" s="101">
        <v>1</v>
      </c>
      <c r="F20" s="100">
        <v>9</v>
      </c>
      <c r="G20" s="100">
        <v>1</v>
      </c>
      <c r="H20" s="101">
        <v>10</v>
      </c>
      <c r="I20" s="100">
        <v>8</v>
      </c>
      <c r="J20" s="100">
        <v>1</v>
      </c>
      <c r="K20" s="101">
        <v>9</v>
      </c>
      <c r="L20" s="100">
        <v>10</v>
      </c>
      <c r="M20" s="103">
        <v>4</v>
      </c>
      <c r="N20" s="101">
        <v>14</v>
      </c>
      <c r="O20" s="100">
        <v>24</v>
      </c>
      <c r="P20" s="103">
        <v>6</v>
      </c>
      <c r="Q20" s="101">
        <v>30</v>
      </c>
      <c r="R20" s="100">
        <v>37</v>
      </c>
      <c r="S20" s="103">
        <v>7</v>
      </c>
      <c r="T20" s="101">
        <v>44</v>
      </c>
      <c r="U20" s="116">
        <v>34</v>
      </c>
      <c r="V20" s="103">
        <v>6</v>
      </c>
      <c r="W20" s="101">
        <v>40</v>
      </c>
      <c r="X20" s="100">
        <v>19</v>
      </c>
      <c r="Y20" s="103">
        <v>5</v>
      </c>
      <c r="Z20" s="101">
        <v>24</v>
      </c>
      <c r="AA20" s="100">
        <v>28</v>
      </c>
      <c r="AB20" s="105">
        <v>7</v>
      </c>
      <c r="AC20" s="101">
        <v>35</v>
      </c>
      <c r="AD20" s="100">
        <v>23</v>
      </c>
      <c r="AE20" s="100">
        <v>5</v>
      </c>
      <c r="AF20" s="101">
        <v>28</v>
      </c>
      <c r="AG20" s="100">
        <v>44</v>
      </c>
      <c r="AH20" s="100">
        <v>9</v>
      </c>
      <c r="AI20" s="101">
        <v>53</v>
      </c>
      <c r="AJ20" s="100">
        <v>71</v>
      </c>
      <c r="AK20" s="100">
        <v>7</v>
      </c>
      <c r="AL20" s="101">
        <v>78</v>
      </c>
      <c r="AM20" s="100">
        <v>77</v>
      </c>
      <c r="AN20" s="100">
        <v>10</v>
      </c>
      <c r="AO20" s="101">
        <v>87</v>
      </c>
      <c r="AP20" s="100">
        <v>66</v>
      </c>
      <c r="AQ20" s="100">
        <v>11</v>
      </c>
      <c r="AR20" s="101">
        <v>77</v>
      </c>
      <c r="AS20" s="100">
        <v>67</v>
      </c>
      <c r="AT20" s="100">
        <v>15</v>
      </c>
      <c r="AU20" s="106">
        <f t="shared" si="0"/>
        <v>82</v>
      </c>
      <c r="AV20" s="107">
        <f>Detalle!R103</f>
        <v>152</v>
      </c>
      <c r="AW20" s="107">
        <f>Detalle!R104</f>
        <v>49</v>
      </c>
      <c r="AX20" s="108">
        <f t="shared" si="1"/>
        <v>201</v>
      </c>
      <c r="AY20" s="112">
        <f>518+AV20</f>
        <v>670</v>
      </c>
      <c r="AZ20" s="115">
        <f>94+AW20</f>
        <v>143</v>
      </c>
      <c r="BA20" s="111">
        <f t="shared" si="2"/>
        <v>813</v>
      </c>
    </row>
    <row r="21" spans="2:53" ht="12">
      <c r="B21" s="99" t="s">
        <v>13</v>
      </c>
      <c r="C21" s="100">
        <v>12</v>
      </c>
      <c r="D21" s="100">
        <v>0</v>
      </c>
      <c r="E21" s="101">
        <v>12</v>
      </c>
      <c r="F21" s="100">
        <v>3</v>
      </c>
      <c r="G21" s="100">
        <v>0</v>
      </c>
      <c r="H21" s="101">
        <v>3</v>
      </c>
      <c r="I21" s="100">
        <v>15</v>
      </c>
      <c r="J21" s="100">
        <v>5</v>
      </c>
      <c r="K21" s="101">
        <v>20</v>
      </c>
      <c r="L21" s="100">
        <v>10</v>
      </c>
      <c r="M21" s="103">
        <v>4</v>
      </c>
      <c r="N21" s="101">
        <v>14</v>
      </c>
      <c r="O21" s="100">
        <v>14</v>
      </c>
      <c r="P21" s="103">
        <v>15</v>
      </c>
      <c r="Q21" s="101">
        <v>29</v>
      </c>
      <c r="R21" s="100">
        <v>48</v>
      </c>
      <c r="S21" s="103">
        <v>19</v>
      </c>
      <c r="T21" s="101">
        <v>67</v>
      </c>
      <c r="U21" s="116">
        <v>53</v>
      </c>
      <c r="V21" s="103">
        <v>22</v>
      </c>
      <c r="W21" s="101">
        <v>75</v>
      </c>
      <c r="X21" s="100">
        <v>33</v>
      </c>
      <c r="Y21" s="103">
        <v>20</v>
      </c>
      <c r="Z21" s="101">
        <v>53</v>
      </c>
      <c r="AA21" s="100">
        <v>46</v>
      </c>
      <c r="AB21" s="105">
        <v>17</v>
      </c>
      <c r="AC21" s="101">
        <v>63</v>
      </c>
      <c r="AD21" s="100">
        <v>38</v>
      </c>
      <c r="AE21" s="100">
        <v>19</v>
      </c>
      <c r="AF21" s="101">
        <v>57</v>
      </c>
      <c r="AG21" s="100">
        <v>49</v>
      </c>
      <c r="AH21" s="100">
        <v>14</v>
      </c>
      <c r="AI21" s="101">
        <v>63</v>
      </c>
      <c r="AJ21" s="100">
        <v>76</v>
      </c>
      <c r="AK21" s="100">
        <v>25</v>
      </c>
      <c r="AL21" s="101">
        <v>101</v>
      </c>
      <c r="AM21" s="100">
        <v>91</v>
      </c>
      <c r="AN21" s="100">
        <v>32</v>
      </c>
      <c r="AO21" s="101">
        <v>123</v>
      </c>
      <c r="AP21" s="100">
        <v>103</v>
      </c>
      <c r="AQ21" s="100">
        <v>20</v>
      </c>
      <c r="AR21" s="101">
        <v>123</v>
      </c>
      <c r="AS21" s="100">
        <v>378</v>
      </c>
      <c r="AT21" s="100">
        <v>47</v>
      </c>
      <c r="AU21" s="106">
        <f t="shared" si="0"/>
        <v>425</v>
      </c>
      <c r="AV21" s="107">
        <f>Detalle!R106</f>
        <v>103</v>
      </c>
      <c r="AW21" s="107">
        <f>Detalle!R107+Detalle!R108</f>
        <v>32</v>
      </c>
      <c r="AX21" s="108">
        <f t="shared" si="1"/>
        <v>135</v>
      </c>
      <c r="AY21" s="112">
        <f>969+AV21</f>
        <v>1072</v>
      </c>
      <c r="AZ21" s="115">
        <f>259+AW21</f>
        <v>291</v>
      </c>
      <c r="BA21" s="111">
        <f t="shared" si="2"/>
        <v>1363</v>
      </c>
    </row>
    <row r="22" spans="2:53" ht="12">
      <c r="B22" s="99" t="s">
        <v>14</v>
      </c>
      <c r="C22" s="100">
        <v>12</v>
      </c>
      <c r="D22" s="100">
        <v>0</v>
      </c>
      <c r="E22" s="101">
        <v>12</v>
      </c>
      <c r="F22" s="100">
        <v>19</v>
      </c>
      <c r="G22" s="100">
        <v>0</v>
      </c>
      <c r="H22" s="101">
        <v>19</v>
      </c>
      <c r="I22" s="100">
        <v>54</v>
      </c>
      <c r="J22" s="100">
        <v>0</v>
      </c>
      <c r="K22" s="101">
        <v>54</v>
      </c>
      <c r="L22" s="100">
        <v>31</v>
      </c>
      <c r="M22" s="103">
        <v>0</v>
      </c>
      <c r="N22" s="101">
        <v>31</v>
      </c>
      <c r="O22" s="100">
        <v>43</v>
      </c>
      <c r="P22" s="103">
        <v>0</v>
      </c>
      <c r="Q22" s="101">
        <v>43</v>
      </c>
      <c r="R22" s="100">
        <v>88</v>
      </c>
      <c r="S22" s="103">
        <v>0</v>
      </c>
      <c r="T22" s="101">
        <v>88</v>
      </c>
      <c r="U22" s="116">
        <v>154</v>
      </c>
      <c r="V22" s="103">
        <v>0</v>
      </c>
      <c r="W22" s="101">
        <v>154</v>
      </c>
      <c r="X22" s="100">
        <v>77</v>
      </c>
      <c r="Y22" s="103">
        <v>0</v>
      </c>
      <c r="Z22" s="101">
        <v>77</v>
      </c>
      <c r="AA22" s="100">
        <v>89</v>
      </c>
      <c r="AB22" s="105">
        <v>8</v>
      </c>
      <c r="AC22" s="101">
        <v>97</v>
      </c>
      <c r="AD22" s="100">
        <v>75</v>
      </c>
      <c r="AE22" s="100">
        <v>14</v>
      </c>
      <c r="AF22" s="101">
        <v>89</v>
      </c>
      <c r="AG22" s="100">
        <v>82</v>
      </c>
      <c r="AH22" s="100">
        <v>10</v>
      </c>
      <c r="AI22" s="101">
        <v>92</v>
      </c>
      <c r="AJ22" s="100">
        <v>109</v>
      </c>
      <c r="AK22" s="100">
        <v>19</v>
      </c>
      <c r="AL22" s="101">
        <v>128</v>
      </c>
      <c r="AM22" s="100">
        <v>187</v>
      </c>
      <c r="AN22" s="100">
        <v>24</v>
      </c>
      <c r="AO22" s="101">
        <v>211</v>
      </c>
      <c r="AP22" s="100">
        <v>223</v>
      </c>
      <c r="AQ22" s="100">
        <v>21</v>
      </c>
      <c r="AR22" s="101">
        <v>244</v>
      </c>
      <c r="AS22" s="100">
        <v>267</v>
      </c>
      <c r="AT22" s="100">
        <v>5</v>
      </c>
      <c r="AU22" s="106">
        <f t="shared" si="0"/>
        <v>272</v>
      </c>
      <c r="AV22" s="107">
        <f>Detalle!R110</f>
        <v>283</v>
      </c>
      <c r="AW22" s="107">
        <v>0</v>
      </c>
      <c r="AX22" s="108">
        <f t="shared" si="1"/>
        <v>283</v>
      </c>
      <c r="AY22" s="112">
        <f>1510+AV22</f>
        <v>1793</v>
      </c>
      <c r="AZ22" s="113">
        <v>101</v>
      </c>
      <c r="BA22" s="111">
        <f t="shared" si="2"/>
        <v>1894</v>
      </c>
    </row>
    <row r="23" spans="2:53" ht="12">
      <c r="B23" s="99" t="s">
        <v>15</v>
      </c>
      <c r="C23" s="100">
        <v>0</v>
      </c>
      <c r="D23" s="100">
        <v>0</v>
      </c>
      <c r="E23" s="101">
        <v>0</v>
      </c>
      <c r="F23" s="100">
        <v>0</v>
      </c>
      <c r="G23" s="100">
        <v>0</v>
      </c>
      <c r="H23" s="101">
        <v>0</v>
      </c>
      <c r="I23" s="100">
        <v>0</v>
      </c>
      <c r="J23" s="100">
        <v>0</v>
      </c>
      <c r="K23" s="101">
        <v>0</v>
      </c>
      <c r="L23" s="100">
        <v>30</v>
      </c>
      <c r="M23" s="100">
        <v>0</v>
      </c>
      <c r="N23" s="101">
        <v>30</v>
      </c>
      <c r="O23" s="100">
        <v>65</v>
      </c>
      <c r="P23" s="100">
        <v>0</v>
      </c>
      <c r="Q23" s="101">
        <v>65</v>
      </c>
      <c r="R23" s="100">
        <v>134</v>
      </c>
      <c r="S23" s="100">
        <v>0</v>
      </c>
      <c r="T23" s="101">
        <v>134</v>
      </c>
      <c r="U23" s="100">
        <v>97</v>
      </c>
      <c r="V23" s="100">
        <v>0</v>
      </c>
      <c r="W23" s="101">
        <v>97</v>
      </c>
      <c r="X23" s="100">
        <v>96</v>
      </c>
      <c r="Y23" s="100">
        <v>0</v>
      </c>
      <c r="Z23" s="101">
        <v>96</v>
      </c>
      <c r="AA23" s="100">
        <v>101</v>
      </c>
      <c r="AB23" s="100">
        <v>0</v>
      </c>
      <c r="AC23" s="101">
        <v>101</v>
      </c>
      <c r="AD23" s="100">
        <v>199</v>
      </c>
      <c r="AE23" s="100">
        <v>0</v>
      </c>
      <c r="AF23" s="101">
        <v>199</v>
      </c>
      <c r="AG23" s="100">
        <v>211</v>
      </c>
      <c r="AH23" s="100">
        <v>0</v>
      </c>
      <c r="AI23" s="101">
        <v>211</v>
      </c>
      <c r="AJ23" s="100">
        <v>0</v>
      </c>
      <c r="AK23" s="100">
        <v>0</v>
      </c>
      <c r="AL23" s="101">
        <v>0</v>
      </c>
      <c r="AM23" s="100">
        <v>0</v>
      </c>
      <c r="AN23" s="100">
        <v>0</v>
      </c>
      <c r="AO23" s="101">
        <v>0</v>
      </c>
      <c r="AP23" s="100">
        <v>146</v>
      </c>
      <c r="AQ23" s="100">
        <v>0</v>
      </c>
      <c r="AR23" s="101">
        <v>146</v>
      </c>
      <c r="AS23" s="100">
        <v>0</v>
      </c>
      <c r="AT23" s="100">
        <v>0</v>
      </c>
      <c r="AU23" s="106">
        <f t="shared" si="0"/>
        <v>0</v>
      </c>
      <c r="AV23" s="107">
        <v>0</v>
      </c>
      <c r="AW23" s="107">
        <v>0</v>
      </c>
      <c r="AX23" s="108">
        <f t="shared" si="1"/>
        <v>0</v>
      </c>
      <c r="AY23" s="112">
        <f>1079+AV23</f>
        <v>1079</v>
      </c>
      <c r="AZ23" s="113">
        <v>0</v>
      </c>
      <c r="BA23" s="111">
        <v>0</v>
      </c>
    </row>
    <row r="24" spans="2:53" ht="12">
      <c r="B24" s="99" t="s">
        <v>16</v>
      </c>
      <c r="C24" s="100">
        <v>5</v>
      </c>
      <c r="D24" s="100">
        <v>8</v>
      </c>
      <c r="E24" s="101">
        <v>13</v>
      </c>
      <c r="F24" s="100">
        <v>17</v>
      </c>
      <c r="G24" s="100">
        <v>7</v>
      </c>
      <c r="H24" s="101">
        <v>24</v>
      </c>
      <c r="I24" s="100">
        <v>67</v>
      </c>
      <c r="J24" s="100">
        <v>11</v>
      </c>
      <c r="K24" s="101">
        <v>78</v>
      </c>
      <c r="L24" s="100">
        <v>32</v>
      </c>
      <c r="M24" s="103">
        <v>31</v>
      </c>
      <c r="N24" s="101">
        <v>63</v>
      </c>
      <c r="O24" s="100">
        <v>78</v>
      </c>
      <c r="P24" s="103">
        <v>79</v>
      </c>
      <c r="Q24" s="101">
        <v>157</v>
      </c>
      <c r="R24" s="100">
        <v>123</v>
      </c>
      <c r="S24" s="103">
        <v>88</v>
      </c>
      <c r="T24" s="101">
        <v>211</v>
      </c>
      <c r="U24" s="116">
        <v>135</v>
      </c>
      <c r="V24" s="103">
        <v>67</v>
      </c>
      <c r="W24" s="101">
        <v>202</v>
      </c>
      <c r="X24" s="100">
        <v>136</v>
      </c>
      <c r="Y24" s="103">
        <v>79</v>
      </c>
      <c r="Z24" s="101">
        <v>215</v>
      </c>
      <c r="AA24" s="100">
        <v>111</v>
      </c>
      <c r="AB24" s="105">
        <v>106</v>
      </c>
      <c r="AC24" s="101">
        <v>217</v>
      </c>
      <c r="AD24" s="100">
        <v>771</v>
      </c>
      <c r="AE24" s="100">
        <v>168</v>
      </c>
      <c r="AF24" s="101">
        <v>939</v>
      </c>
      <c r="AG24" s="100">
        <v>196</v>
      </c>
      <c r="AH24" s="100">
        <v>75</v>
      </c>
      <c r="AI24" s="101">
        <v>271</v>
      </c>
      <c r="AJ24" s="100">
        <v>257</v>
      </c>
      <c r="AK24" s="100">
        <v>134</v>
      </c>
      <c r="AL24" s="101">
        <v>391</v>
      </c>
      <c r="AM24" s="100">
        <v>331</v>
      </c>
      <c r="AN24" s="100">
        <v>220</v>
      </c>
      <c r="AO24" s="101">
        <v>551</v>
      </c>
      <c r="AP24" s="100">
        <v>472</v>
      </c>
      <c r="AQ24" s="100">
        <v>281</v>
      </c>
      <c r="AR24" s="101">
        <v>753</v>
      </c>
      <c r="AS24" s="100">
        <v>576</v>
      </c>
      <c r="AT24" s="100">
        <f>49+11+213+70+30</f>
        <v>373</v>
      </c>
      <c r="AU24" s="106">
        <f t="shared" si="0"/>
        <v>949</v>
      </c>
      <c r="AV24" s="107">
        <f>Detalle!R115</f>
        <v>392</v>
      </c>
      <c r="AW24" s="107">
        <f>Detalle!R116+Detalle!R117+Detalle!R118+Detalle!R119+Detalle!R120</f>
        <v>199</v>
      </c>
      <c r="AX24" s="108">
        <f t="shared" si="1"/>
        <v>591</v>
      </c>
      <c r="AY24" s="112">
        <f>3307+AV24</f>
        <v>3699</v>
      </c>
      <c r="AZ24" s="115">
        <f>1727+AW24</f>
        <v>1926</v>
      </c>
      <c r="BA24" s="111">
        <f t="shared" si="2"/>
        <v>5625</v>
      </c>
    </row>
    <row r="25" spans="2:53" ht="12">
      <c r="B25" s="99" t="s">
        <v>17</v>
      </c>
      <c r="C25" s="100">
        <v>2</v>
      </c>
      <c r="D25" s="100">
        <v>0</v>
      </c>
      <c r="E25" s="101">
        <v>2</v>
      </c>
      <c r="F25" s="100">
        <v>1</v>
      </c>
      <c r="G25" s="100">
        <v>2</v>
      </c>
      <c r="H25" s="101">
        <v>3</v>
      </c>
      <c r="I25" s="100">
        <v>18</v>
      </c>
      <c r="J25" s="100">
        <v>32</v>
      </c>
      <c r="K25" s="101">
        <v>50</v>
      </c>
      <c r="L25" s="100">
        <v>24</v>
      </c>
      <c r="M25" s="103">
        <v>24</v>
      </c>
      <c r="N25" s="101">
        <v>48</v>
      </c>
      <c r="O25" s="100">
        <v>72</v>
      </c>
      <c r="P25" s="103">
        <v>78</v>
      </c>
      <c r="Q25" s="101">
        <v>150</v>
      </c>
      <c r="R25" s="100">
        <v>70</v>
      </c>
      <c r="S25" s="103">
        <v>77</v>
      </c>
      <c r="T25" s="101">
        <v>147</v>
      </c>
      <c r="U25" s="116">
        <v>73</v>
      </c>
      <c r="V25" s="103">
        <v>95</v>
      </c>
      <c r="W25" s="101">
        <v>168</v>
      </c>
      <c r="X25" s="100">
        <v>42</v>
      </c>
      <c r="Y25" s="103">
        <v>87</v>
      </c>
      <c r="Z25" s="101">
        <v>129</v>
      </c>
      <c r="AA25" s="100">
        <v>59</v>
      </c>
      <c r="AB25" s="105">
        <v>83</v>
      </c>
      <c r="AC25" s="101">
        <v>142</v>
      </c>
      <c r="AD25" s="100">
        <v>57</v>
      </c>
      <c r="AE25" s="100">
        <v>81</v>
      </c>
      <c r="AF25" s="101">
        <v>138</v>
      </c>
      <c r="AG25" s="100">
        <v>93</v>
      </c>
      <c r="AH25" s="100">
        <v>95</v>
      </c>
      <c r="AI25" s="101">
        <v>188</v>
      </c>
      <c r="AJ25" s="100">
        <v>71</v>
      </c>
      <c r="AK25" s="100">
        <v>128</v>
      </c>
      <c r="AL25" s="101">
        <v>199</v>
      </c>
      <c r="AM25" s="100">
        <v>151</v>
      </c>
      <c r="AN25" s="100">
        <v>246</v>
      </c>
      <c r="AO25" s="101">
        <v>397</v>
      </c>
      <c r="AP25" s="100">
        <v>161</v>
      </c>
      <c r="AQ25" s="100">
        <v>234</v>
      </c>
      <c r="AR25" s="101">
        <v>395</v>
      </c>
      <c r="AS25" s="100">
        <v>184</v>
      </c>
      <c r="AT25" s="100">
        <f>45+36+216+10+12</f>
        <v>319</v>
      </c>
      <c r="AU25" s="106">
        <f t="shared" si="0"/>
        <v>503</v>
      </c>
      <c r="AV25" s="107">
        <f>Detalle!R122</f>
        <v>175</v>
      </c>
      <c r="AW25" s="107">
        <f>Detalle!R123+Detalle!R124+Detalle!R125+Detalle!R126+Detalle!R127</f>
        <v>248</v>
      </c>
      <c r="AX25" s="108">
        <f t="shared" si="1"/>
        <v>423</v>
      </c>
      <c r="AY25" s="112">
        <f>1078+AV25</f>
        <v>1253</v>
      </c>
      <c r="AZ25" s="115">
        <f>1581+AW25</f>
        <v>1829</v>
      </c>
      <c r="BA25" s="111">
        <f t="shared" si="2"/>
        <v>3082</v>
      </c>
    </row>
    <row r="26" spans="2:53" ht="12">
      <c r="B26" s="99" t="s">
        <v>161</v>
      </c>
      <c r="C26" s="100">
        <v>0</v>
      </c>
      <c r="D26" s="100">
        <v>0</v>
      </c>
      <c r="E26" s="101">
        <v>0</v>
      </c>
      <c r="F26" s="100">
        <v>0</v>
      </c>
      <c r="G26" s="100">
        <v>0</v>
      </c>
      <c r="H26" s="101">
        <v>0</v>
      </c>
      <c r="I26" s="100">
        <v>0</v>
      </c>
      <c r="J26" s="100">
        <v>0</v>
      </c>
      <c r="K26" s="101">
        <v>0</v>
      </c>
      <c r="L26" s="100">
        <v>0</v>
      </c>
      <c r="M26" s="100">
        <v>0</v>
      </c>
      <c r="N26" s="101">
        <v>0</v>
      </c>
      <c r="O26" s="100">
        <v>0</v>
      </c>
      <c r="P26" s="100">
        <v>0</v>
      </c>
      <c r="Q26" s="101">
        <v>0</v>
      </c>
      <c r="R26" s="100">
        <v>0</v>
      </c>
      <c r="S26" s="100">
        <v>0</v>
      </c>
      <c r="T26" s="101">
        <v>0</v>
      </c>
      <c r="U26" s="100">
        <v>0</v>
      </c>
      <c r="V26" s="100">
        <v>0</v>
      </c>
      <c r="W26" s="101">
        <v>0</v>
      </c>
      <c r="X26" s="100">
        <v>0</v>
      </c>
      <c r="Y26" s="100">
        <v>0</v>
      </c>
      <c r="Z26" s="101">
        <v>0</v>
      </c>
      <c r="AA26" s="100">
        <v>0</v>
      </c>
      <c r="AB26" s="100">
        <v>0</v>
      </c>
      <c r="AC26" s="101">
        <v>0</v>
      </c>
      <c r="AD26" s="100">
        <v>0</v>
      </c>
      <c r="AE26" s="100">
        <v>0</v>
      </c>
      <c r="AF26" s="101">
        <v>0</v>
      </c>
      <c r="AG26" s="100">
        <v>0</v>
      </c>
      <c r="AH26" s="100">
        <v>0</v>
      </c>
      <c r="AI26" s="101">
        <v>0</v>
      </c>
      <c r="AJ26" s="100">
        <v>0</v>
      </c>
      <c r="AK26" s="100">
        <v>0</v>
      </c>
      <c r="AL26" s="101">
        <v>0</v>
      </c>
      <c r="AM26" s="100">
        <v>0</v>
      </c>
      <c r="AN26" s="100">
        <v>0</v>
      </c>
      <c r="AO26" s="101">
        <v>0</v>
      </c>
      <c r="AP26" s="100">
        <v>0</v>
      </c>
      <c r="AQ26" s="100">
        <v>0</v>
      </c>
      <c r="AR26" s="101">
        <v>0</v>
      </c>
      <c r="AS26" s="100">
        <v>0</v>
      </c>
      <c r="AT26" s="100">
        <v>0</v>
      </c>
      <c r="AU26" s="106">
        <v>0</v>
      </c>
      <c r="AV26" s="100">
        <v>31</v>
      </c>
      <c r="AW26" s="107">
        <v>0</v>
      </c>
      <c r="AX26" s="108">
        <f t="shared" si="1"/>
        <v>31</v>
      </c>
      <c r="AY26" s="112">
        <f>AV26</f>
        <v>31</v>
      </c>
      <c r="AZ26" s="115">
        <f>AW26</f>
        <v>0</v>
      </c>
      <c r="BA26" s="111">
        <f>AX26</f>
        <v>31</v>
      </c>
    </row>
    <row r="27" spans="2:53" ht="12">
      <c r="B27" s="99" t="s">
        <v>18</v>
      </c>
      <c r="C27" s="100">
        <v>1</v>
      </c>
      <c r="D27" s="100">
        <v>0</v>
      </c>
      <c r="E27" s="101">
        <v>1</v>
      </c>
      <c r="F27" s="100">
        <v>22</v>
      </c>
      <c r="G27" s="100">
        <v>0</v>
      </c>
      <c r="H27" s="101">
        <v>22</v>
      </c>
      <c r="I27" s="100">
        <v>10</v>
      </c>
      <c r="J27" s="100">
        <v>0</v>
      </c>
      <c r="K27" s="101">
        <v>10</v>
      </c>
      <c r="L27" s="100">
        <v>11</v>
      </c>
      <c r="M27" s="103">
        <v>0</v>
      </c>
      <c r="N27" s="101">
        <v>11</v>
      </c>
      <c r="O27" s="100">
        <v>19</v>
      </c>
      <c r="P27" s="103">
        <v>0</v>
      </c>
      <c r="Q27" s="101">
        <v>19</v>
      </c>
      <c r="R27" s="100">
        <v>22</v>
      </c>
      <c r="S27" s="103">
        <v>0</v>
      </c>
      <c r="T27" s="101">
        <v>22</v>
      </c>
      <c r="U27" s="116">
        <v>28</v>
      </c>
      <c r="V27" s="103">
        <v>0</v>
      </c>
      <c r="W27" s="101">
        <v>28</v>
      </c>
      <c r="X27" s="100">
        <v>22</v>
      </c>
      <c r="Y27" s="103">
        <v>0</v>
      </c>
      <c r="Z27" s="101">
        <v>22</v>
      </c>
      <c r="AA27" s="100">
        <v>31</v>
      </c>
      <c r="AB27" s="105">
        <v>0</v>
      </c>
      <c r="AC27" s="101">
        <v>31</v>
      </c>
      <c r="AD27" s="100">
        <v>28</v>
      </c>
      <c r="AE27" s="100">
        <v>0</v>
      </c>
      <c r="AF27" s="101">
        <v>28</v>
      </c>
      <c r="AG27" s="100">
        <v>27</v>
      </c>
      <c r="AH27" s="100">
        <v>0</v>
      </c>
      <c r="AI27" s="101">
        <v>27</v>
      </c>
      <c r="AJ27" s="100">
        <v>0</v>
      </c>
      <c r="AK27" s="100">
        <v>0</v>
      </c>
      <c r="AL27" s="101">
        <v>0</v>
      </c>
      <c r="AM27" s="100">
        <v>0</v>
      </c>
      <c r="AN27" s="100">
        <v>0</v>
      </c>
      <c r="AO27" s="101">
        <v>0</v>
      </c>
      <c r="AP27" s="100">
        <v>0</v>
      </c>
      <c r="AQ27" s="100">
        <v>0</v>
      </c>
      <c r="AR27" s="101">
        <v>0</v>
      </c>
      <c r="AS27" s="100">
        <v>0</v>
      </c>
      <c r="AT27" s="100">
        <v>0</v>
      </c>
      <c r="AU27" s="106">
        <f t="shared" si="0"/>
        <v>0</v>
      </c>
      <c r="AV27" s="107">
        <v>0</v>
      </c>
      <c r="AW27" s="107">
        <v>0</v>
      </c>
      <c r="AX27" s="108">
        <f t="shared" si="1"/>
        <v>0</v>
      </c>
      <c r="AY27" s="123">
        <v>221</v>
      </c>
      <c r="AZ27" s="113">
        <v>0</v>
      </c>
      <c r="BA27" s="111">
        <f t="shared" si="2"/>
        <v>221</v>
      </c>
    </row>
    <row r="28" spans="2:53" ht="12">
      <c r="B28" s="99" t="s">
        <v>19</v>
      </c>
      <c r="C28" s="100">
        <v>1</v>
      </c>
      <c r="D28" s="100">
        <v>12</v>
      </c>
      <c r="E28" s="101">
        <v>13</v>
      </c>
      <c r="F28" s="100">
        <v>0</v>
      </c>
      <c r="G28" s="100">
        <v>16</v>
      </c>
      <c r="H28" s="101">
        <v>16</v>
      </c>
      <c r="I28" s="100">
        <v>25</v>
      </c>
      <c r="J28" s="100">
        <v>59</v>
      </c>
      <c r="K28" s="101">
        <v>84</v>
      </c>
      <c r="L28" s="100">
        <v>11</v>
      </c>
      <c r="M28" s="103">
        <v>30</v>
      </c>
      <c r="N28" s="101">
        <v>41</v>
      </c>
      <c r="O28" s="100">
        <v>77</v>
      </c>
      <c r="P28" s="103">
        <v>119</v>
      </c>
      <c r="Q28" s="101">
        <v>196</v>
      </c>
      <c r="R28" s="100">
        <v>101</v>
      </c>
      <c r="S28" s="103">
        <v>372</v>
      </c>
      <c r="T28" s="101">
        <v>473</v>
      </c>
      <c r="U28" s="116">
        <v>95</v>
      </c>
      <c r="V28" s="103">
        <v>268</v>
      </c>
      <c r="W28" s="101">
        <v>363</v>
      </c>
      <c r="X28" s="100">
        <v>122</v>
      </c>
      <c r="Y28" s="103">
        <v>275</v>
      </c>
      <c r="Z28" s="101">
        <v>397</v>
      </c>
      <c r="AA28" s="100">
        <v>123</v>
      </c>
      <c r="AB28" s="105">
        <v>281</v>
      </c>
      <c r="AC28" s="101">
        <v>404</v>
      </c>
      <c r="AD28" s="100">
        <v>133</v>
      </c>
      <c r="AE28" s="100">
        <v>379</v>
      </c>
      <c r="AF28" s="101">
        <v>512</v>
      </c>
      <c r="AG28" s="100">
        <v>150</v>
      </c>
      <c r="AH28" s="100">
        <v>405</v>
      </c>
      <c r="AI28" s="101">
        <v>555</v>
      </c>
      <c r="AJ28" s="100">
        <v>198</v>
      </c>
      <c r="AK28" s="100">
        <v>476</v>
      </c>
      <c r="AL28" s="101">
        <v>674</v>
      </c>
      <c r="AM28" s="100">
        <v>276</v>
      </c>
      <c r="AN28" s="100">
        <v>807</v>
      </c>
      <c r="AO28" s="101">
        <v>1083</v>
      </c>
      <c r="AP28" s="100">
        <v>374</v>
      </c>
      <c r="AQ28" s="100">
        <v>1520</v>
      </c>
      <c r="AR28" s="101">
        <v>1894</v>
      </c>
      <c r="AS28" s="100">
        <v>393</v>
      </c>
      <c r="AT28" s="100">
        <f>805+55+134+78+53+0+31+18</f>
        <v>1174</v>
      </c>
      <c r="AU28" s="106">
        <f t="shared" si="0"/>
        <v>1567</v>
      </c>
      <c r="AV28" s="107">
        <f>Detalle!R131</f>
        <v>541</v>
      </c>
      <c r="AW28" s="107">
        <f>Detalle!R132+Detalle!R133+Detalle!R134+Detalle!R135+Detalle!R136+Detalle!R137+Detalle!R138+Detalle!R139</f>
        <v>1078</v>
      </c>
      <c r="AX28" s="108">
        <f t="shared" si="1"/>
        <v>1619</v>
      </c>
      <c r="AY28" s="112">
        <f>2079+AV28</f>
        <v>2620</v>
      </c>
      <c r="AZ28" s="115">
        <f>6193+AW28</f>
        <v>7271</v>
      </c>
      <c r="BA28" s="111">
        <f t="shared" si="2"/>
        <v>9891</v>
      </c>
    </row>
    <row r="29" spans="2:53" ht="12">
      <c r="B29" s="99" t="s">
        <v>20</v>
      </c>
      <c r="C29" s="100">
        <v>46</v>
      </c>
      <c r="D29" s="100">
        <v>0</v>
      </c>
      <c r="E29" s="101">
        <v>46</v>
      </c>
      <c r="F29" s="100">
        <v>29</v>
      </c>
      <c r="G29" s="100">
        <v>0</v>
      </c>
      <c r="H29" s="101">
        <v>29</v>
      </c>
      <c r="I29" s="100">
        <v>74</v>
      </c>
      <c r="J29" s="100">
        <v>0</v>
      </c>
      <c r="K29" s="101">
        <v>74</v>
      </c>
      <c r="L29" s="100">
        <v>46</v>
      </c>
      <c r="M29" s="103">
        <v>0</v>
      </c>
      <c r="N29" s="101">
        <v>46</v>
      </c>
      <c r="O29" s="100">
        <v>118</v>
      </c>
      <c r="P29" s="103">
        <v>0</v>
      </c>
      <c r="Q29" s="101">
        <v>118</v>
      </c>
      <c r="R29" s="100">
        <v>219</v>
      </c>
      <c r="S29" s="103">
        <v>0</v>
      </c>
      <c r="T29" s="101">
        <v>219</v>
      </c>
      <c r="U29" s="116">
        <v>152</v>
      </c>
      <c r="V29" s="103">
        <v>0</v>
      </c>
      <c r="W29" s="101">
        <v>152</v>
      </c>
      <c r="X29" s="100">
        <v>113</v>
      </c>
      <c r="Y29" s="103">
        <v>0</v>
      </c>
      <c r="Z29" s="101">
        <v>113</v>
      </c>
      <c r="AA29" s="100">
        <v>168</v>
      </c>
      <c r="AB29" s="105">
        <v>0</v>
      </c>
      <c r="AC29" s="101">
        <v>168</v>
      </c>
      <c r="AD29" s="100">
        <v>173</v>
      </c>
      <c r="AE29" s="100">
        <v>0</v>
      </c>
      <c r="AF29" s="101">
        <v>173</v>
      </c>
      <c r="AG29" s="100">
        <v>251</v>
      </c>
      <c r="AH29" s="100">
        <v>0</v>
      </c>
      <c r="AI29" s="101">
        <v>251</v>
      </c>
      <c r="AJ29" s="100">
        <v>250</v>
      </c>
      <c r="AK29" s="100">
        <v>0</v>
      </c>
      <c r="AL29" s="101">
        <v>250</v>
      </c>
      <c r="AM29" s="100">
        <v>405</v>
      </c>
      <c r="AN29" s="100">
        <v>0</v>
      </c>
      <c r="AO29" s="101">
        <v>405</v>
      </c>
      <c r="AP29" s="100">
        <v>264</v>
      </c>
      <c r="AQ29" s="100">
        <v>0</v>
      </c>
      <c r="AR29" s="101">
        <v>264</v>
      </c>
      <c r="AS29" s="100">
        <v>454</v>
      </c>
      <c r="AT29" s="100">
        <v>0</v>
      </c>
      <c r="AU29" s="106">
        <f t="shared" si="0"/>
        <v>454</v>
      </c>
      <c r="AV29" s="107">
        <f>Detalle!R141</f>
        <v>454</v>
      </c>
      <c r="AW29" s="107">
        <v>0</v>
      </c>
      <c r="AX29" s="108">
        <f t="shared" si="1"/>
        <v>454</v>
      </c>
      <c r="AY29" s="112">
        <f>2762+AV29</f>
        <v>3216</v>
      </c>
      <c r="AZ29" s="113">
        <v>0</v>
      </c>
      <c r="BA29" s="111">
        <f t="shared" si="2"/>
        <v>3216</v>
      </c>
    </row>
    <row r="30" spans="2:53" ht="12">
      <c r="B30" s="99" t="s">
        <v>124</v>
      </c>
      <c r="C30" s="100">
        <v>18</v>
      </c>
      <c r="D30" s="100">
        <v>1</v>
      </c>
      <c r="E30" s="101">
        <v>19</v>
      </c>
      <c r="F30" s="100">
        <v>7</v>
      </c>
      <c r="G30" s="100">
        <v>0</v>
      </c>
      <c r="H30" s="101">
        <v>7</v>
      </c>
      <c r="I30" s="100">
        <v>93</v>
      </c>
      <c r="J30" s="100">
        <v>103</v>
      </c>
      <c r="K30" s="101">
        <v>196</v>
      </c>
      <c r="L30" s="100">
        <v>72</v>
      </c>
      <c r="M30" s="103">
        <v>53</v>
      </c>
      <c r="N30" s="101">
        <v>125</v>
      </c>
      <c r="O30" s="100">
        <v>145</v>
      </c>
      <c r="P30" s="103">
        <v>97</v>
      </c>
      <c r="Q30" s="101">
        <v>242</v>
      </c>
      <c r="R30" s="100">
        <v>218</v>
      </c>
      <c r="S30" s="103">
        <v>40</v>
      </c>
      <c r="T30" s="101">
        <v>258</v>
      </c>
      <c r="U30" s="116">
        <v>467</v>
      </c>
      <c r="V30" s="103">
        <v>13</v>
      </c>
      <c r="W30" s="101">
        <v>480</v>
      </c>
      <c r="X30" s="100">
        <v>144</v>
      </c>
      <c r="Y30" s="103">
        <v>62</v>
      </c>
      <c r="Z30" s="101">
        <v>206</v>
      </c>
      <c r="AA30" s="100">
        <v>290</v>
      </c>
      <c r="AB30" s="105">
        <v>34</v>
      </c>
      <c r="AC30" s="101">
        <v>324</v>
      </c>
      <c r="AD30" s="100">
        <v>221</v>
      </c>
      <c r="AE30" s="100">
        <v>173</v>
      </c>
      <c r="AF30" s="101">
        <v>394</v>
      </c>
      <c r="AG30" s="100">
        <v>162</v>
      </c>
      <c r="AH30" s="100">
        <v>37</v>
      </c>
      <c r="AI30" s="101">
        <v>199</v>
      </c>
      <c r="AJ30" s="100">
        <v>251</v>
      </c>
      <c r="AK30" s="100">
        <v>48</v>
      </c>
      <c r="AL30" s="101">
        <v>299</v>
      </c>
      <c r="AM30" s="100">
        <v>301</v>
      </c>
      <c r="AN30" s="100">
        <v>45</v>
      </c>
      <c r="AO30" s="101">
        <v>346</v>
      </c>
      <c r="AP30" s="100">
        <v>380</v>
      </c>
      <c r="AQ30" s="100">
        <v>62</v>
      </c>
      <c r="AR30" s="101">
        <v>442</v>
      </c>
      <c r="AS30" s="100">
        <v>327</v>
      </c>
      <c r="AT30" s="100">
        <v>98</v>
      </c>
      <c r="AU30" s="106">
        <f t="shared" si="0"/>
        <v>425</v>
      </c>
      <c r="AV30" s="107">
        <f>Detalle!R143</f>
        <v>227</v>
      </c>
      <c r="AW30" s="107">
        <v>80</v>
      </c>
      <c r="AX30" s="108">
        <f t="shared" si="1"/>
        <v>307</v>
      </c>
      <c r="AY30" s="112">
        <f>3096+AV30</f>
        <v>3323</v>
      </c>
      <c r="AZ30" s="113">
        <f>866+80</f>
        <v>946</v>
      </c>
      <c r="BA30" s="111">
        <f t="shared" si="2"/>
        <v>4269</v>
      </c>
    </row>
    <row r="31" spans="2:53" ht="12">
      <c r="B31" s="99" t="s">
        <v>21</v>
      </c>
      <c r="C31" s="100">
        <v>1</v>
      </c>
      <c r="D31" s="100">
        <v>0</v>
      </c>
      <c r="E31" s="101">
        <v>1</v>
      </c>
      <c r="F31" s="100">
        <v>0</v>
      </c>
      <c r="G31" s="100">
        <v>0</v>
      </c>
      <c r="H31" s="101">
        <v>0</v>
      </c>
      <c r="I31" s="100">
        <v>11</v>
      </c>
      <c r="J31" s="100">
        <v>1</v>
      </c>
      <c r="K31" s="101">
        <v>12</v>
      </c>
      <c r="L31" s="100">
        <v>11</v>
      </c>
      <c r="M31" s="103">
        <v>2</v>
      </c>
      <c r="N31" s="101">
        <v>13</v>
      </c>
      <c r="O31" s="100">
        <v>19</v>
      </c>
      <c r="P31" s="103">
        <v>7</v>
      </c>
      <c r="Q31" s="101">
        <v>26</v>
      </c>
      <c r="R31" s="100">
        <v>27</v>
      </c>
      <c r="S31" s="103">
        <v>17</v>
      </c>
      <c r="T31" s="101">
        <v>44</v>
      </c>
      <c r="U31" s="116">
        <v>30</v>
      </c>
      <c r="V31" s="103">
        <v>16</v>
      </c>
      <c r="W31" s="101">
        <v>46</v>
      </c>
      <c r="X31" s="100">
        <v>19</v>
      </c>
      <c r="Y31" s="103">
        <v>11</v>
      </c>
      <c r="Z31" s="101">
        <v>30</v>
      </c>
      <c r="AA31" s="100">
        <v>22</v>
      </c>
      <c r="AB31" s="105">
        <v>16</v>
      </c>
      <c r="AC31" s="101">
        <v>38</v>
      </c>
      <c r="AD31" s="100">
        <v>20</v>
      </c>
      <c r="AE31" s="100">
        <v>9</v>
      </c>
      <c r="AF31" s="101">
        <v>29</v>
      </c>
      <c r="AG31" s="100">
        <v>42</v>
      </c>
      <c r="AH31" s="100">
        <v>8</v>
      </c>
      <c r="AI31" s="101">
        <v>50</v>
      </c>
      <c r="AJ31" s="100">
        <v>39</v>
      </c>
      <c r="AK31" s="100">
        <v>10</v>
      </c>
      <c r="AL31" s="101">
        <v>49</v>
      </c>
      <c r="AM31" s="100">
        <v>47</v>
      </c>
      <c r="AN31" s="100">
        <v>10</v>
      </c>
      <c r="AO31" s="101">
        <v>57</v>
      </c>
      <c r="AP31" s="100">
        <v>41</v>
      </c>
      <c r="AQ31" s="100">
        <v>17</v>
      </c>
      <c r="AR31" s="101">
        <v>58</v>
      </c>
      <c r="AS31" s="100">
        <v>54</v>
      </c>
      <c r="AT31" s="100">
        <f>12+11</f>
        <v>23</v>
      </c>
      <c r="AU31" s="106">
        <f t="shared" si="0"/>
        <v>77</v>
      </c>
      <c r="AV31" s="107">
        <v>43</v>
      </c>
      <c r="AW31" s="107">
        <v>12</v>
      </c>
      <c r="AX31" s="108">
        <f t="shared" si="1"/>
        <v>55</v>
      </c>
      <c r="AY31" s="112">
        <f>95+AV31</f>
        <v>138</v>
      </c>
      <c r="AZ31" s="113">
        <f>435+12</f>
        <v>447</v>
      </c>
      <c r="BA31" s="111">
        <f t="shared" si="2"/>
        <v>585</v>
      </c>
    </row>
    <row r="32" spans="2:53" ht="12">
      <c r="B32" s="99" t="s">
        <v>22</v>
      </c>
      <c r="C32" s="100">
        <v>29</v>
      </c>
      <c r="D32" s="100">
        <v>0</v>
      </c>
      <c r="E32" s="101">
        <v>29</v>
      </c>
      <c r="F32" s="100">
        <v>57</v>
      </c>
      <c r="G32" s="100">
        <v>0</v>
      </c>
      <c r="H32" s="101">
        <v>57</v>
      </c>
      <c r="I32" s="100">
        <v>125</v>
      </c>
      <c r="J32" s="100">
        <v>0</v>
      </c>
      <c r="K32" s="101">
        <v>125</v>
      </c>
      <c r="L32" s="100">
        <v>72</v>
      </c>
      <c r="M32" s="103">
        <v>0</v>
      </c>
      <c r="N32" s="101">
        <v>72</v>
      </c>
      <c r="O32" s="100">
        <v>538</v>
      </c>
      <c r="P32" s="103">
        <v>0</v>
      </c>
      <c r="Q32" s="101">
        <v>538</v>
      </c>
      <c r="R32" s="100">
        <v>305</v>
      </c>
      <c r="S32" s="103">
        <v>0</v>
      </c>
      <c r="T32" s="101">
        <v>305</v>
      </c>
      <c r="U32" s="116">
        <v>340</v>
      </c>
      <c r="V32" s="103">
        <v>0</v>
      </c>
      <c r="W32" s="101">
        <v>340</v>
      </c>
      <c r="X32" s="100">
        <v>385</v>
      </c>
      <c r="Y32" s="103">
        <v>0</v>
      </c>
      <c r="Z32" s="101">
        <v>385</v>
      </c>
      <c r="AA32" s="100">
        <v>411</v>
      </c>
      <c r="AB32" s="105">
        <v>0</v>
      </c>
      <c r="AC32" s="101">
        <v>411</v>
      </c>
      <c r="AD32" s="100">
        <v>418</v>
      </c>
      <c r="AE32" s="100">
        <v>0</v>
      </c>
      <c r="AF32" s="101">
        <v>418</v>
      </c>
      <c r="AG32" s="100">
        <v>587</v>
      </c>
      <c r="AH32" s="100">
        <v>0</v>
      </c>
      <c r="AI32" s="101">
        <v>587</v>
      </c>
      <c r="AJ32" s="100">
        <v>574</v>
      </c>
      <c r="AK32" s="100">
        <v>0</v>
      </c>
      <c r="AL32" s="101">
        <v>574</v>
      </c>
      <c r="AM32" s="100">
        <v>47</v>
      </c>
      <c r="AN32" s="100">
        <v>0</v>
      </c>
      <c r="AO32" s="101">
        <v>47</v>
      </c>
      <c r="AP32" s="100">
        <v>0</v>
      </c>
      <c r="AQ32" s="100">
        <v>0</v>
      </c>
      <c r="AR32" s="101">
        <v>0</v>
      </c>
      <c r="AS32" s="100">
        <v>0</v>
      </c>
      <c r="AT32" s="100">
        <v>0</v>
      </c>
      <c r="AU32" s="106">
        <f t="shared" si="0"/>
        <v>0</v>
      </c>
      <c r="AV32" s="107">
        <v>0</v>
      </c>
      <c r="AW32" s="107">
        <v>0</v>
      </c>
      <c r="AX32" s="108">
        <f t="shared" si="1"/>
        <v>0</v>
      </c>
      <c r="AY32" s="112">
        <v>3888</v>
      </c>
      <c r="AZ32" s="113">
        <v>0</v>
      </c>
      <c r="BA32" s="111">
        <f t="shared" si="2"/>
        <v>3888</v>
      </c>
    </row>
    <row r="33" spans="2:53" ht="12">
      <c r="B33" s="99" t="s">
        <v>122</v>
      </c>
      <c r="C33" s="100">
        <v>0</v>
      </c>
      <c r="D33" s="100">
        <v>0</v>
      </c>
      <c r="E33" s="101">
        <v>0</v>
      </c>
      <c r="F33" s="100">
        <v>0</v>
      </c>
      <c r="G33" s="100">
        <v>0</v>
      </c>
      <c r="H33" s="101">
        <v>0</v>
      </c>
      <c r="I33" s="100">
        <v>0</v>
      </c>
      <c r="J33" s="100">
        <v>0</v>
      </c>
      <c r="K33" s="101">
        <v>0</v>
      </c>
      <c r="L33" s="100">
        <v>0</v>
      </c>
      <c r="M33" s="103">
        <v>0</v>
      </c>
      <c r="N33" s="101">
        <v>0</v>
      </c>
      <c r="O33" s="100">
        <v>0</v>
      </c>
      <c r="P33" s="100">
        <v>0</v>
      </c>
      <c r="Q33" s="101">
        <v>0</v>
      </c>
      <c r="R33" s="100">
        <v>0</v>
      </c>
      <c r="S33" s="103">
        <v>0</v>
      </c>
      <c r="T33" s="101">
        <v>0</v>
      </c>
      <c r="U33" s="116">
        <v>0</v>
      </c>
      <c r="V33" s="103">
        <v>0</v>
      </c>
      <c r="W33" s="101">
        <v>0</v>
      </c>
      <c r="X33" s="100">
        <v>0</v>
      </c>
      <c r="Y33" s="103">
        <v>0</v>
      </c>
      <c r="Z33" s="101">
        <v>0</v>
      </c>
      <c r="AA33" s="100">
        <v>0</v>
      </c>
      <c r="AB33" s="105">
        <v>0</v>
      </c>
      <c r="AC33" s="101">
        <v>0</v>
      </c>
      <c r="AD33" s="100">
        <v>0</v>
      </c>
      <c r="AE33" s="100">
        <v>0</v>
      </c>
      <c r="AF33" s="101">
        <v>0</v>
      </c>
      <c r="AG33" s="100">
        <v>49</v>
      </c>
      <c r="AH33" s="100">
        <v>0</v>
      </c>
      <c r="AI33" s="101">
        <v>49</v>
      </c>
      <c r="AJ33" s="100">
        <v>76</v>
      </c>
      <c r="AK33" s="100">
        <v>0</v>
      </c>
      <c r="AL33" s="101">
        <v>76</v>
      </c>
      <c r="AM33" s="100">
        <v>253</v>
      </c>
      <c r="AN33" s="100">
        <v>0</v>
      </c>
      <c r="AO33" s="101">
        <v>253</v>
      </c>
      <c r="AP33" s="100">
        <v>220</v>
      </c>
      <c r="AQ33" s="100">
        <v>30</v>
      </c>
      <c r="AR33" s="101">
        <v>250</v>
      </c>
      <c r="AS33" s="100">
        <v>203</v>
      </c>
      <c r="AT33" s="100">
        <v>0</v>
      </c>
      <c r="AU33" s="106">
        <f t="shared" si="0"/>
        <v>203</v>
      </c>
      <c r="AV33" s="107">
        <f>99+54</f>
        <v>153</v>
      </c>
      <c r="AW33" s="107">
        <v>0</v>
      </c>
      <c r="AX33" s="108">
        <f t="shared" si="1"/>
        <v>153</v>
      </c>
      <c r="AY33" s="123">
        <f>801+153</f>
        <v>954</v>
      </c>
      <c r="AZ33" s="113">
        <v>0</v>
      </c>
      <c r="BA33" s="111">
        <f t="shared" si="2"/>
        <v>954</v>
      </c>
    </row>
    <row r="34" spans="2:53" ht="12">
      <c r="B34" s="99" t="s">
        <v>131</v>
      </c>
      <c r="C34" s="100">
        <v>0</v>
      </c>
      <c r="D34" s="100">
        <v>0</v>
      </c>
      <c r="E34" s="101">
        <v>0</v>
      </c>
      <c r="F34" s="100">
        <v>0</v>
      </c>
      <c r="G34" s="100">
        <v>0</v>
      </c>
      <c r="H34" s="101">
        <v>0</v>
      </c>
      <c r="I34" s="100">
        <v>0</v>
      </c>
      <c r="J34" s="100">
        <v>0</v>
      </c>
      <c r="K34" s="101">
        <v>0</v>
      </c>
      <c r="L34" s="100">
        <v>0</v>
      </c>
      <c r="M34" s="103">
        <v>10</v>
      </c>
      <c r="N34" s="101">
        <v>10</v>
      </c>
      <c r="O34" s="100">
        <v>0</v>
      </c>
      <c r="P34" s="100">
        <v>21</v>
      </c>
      <c r="Q34" s="101">
        <v>21</v>
      </c>
      <c r="R34" s="100">
        <v>0</v>
      </c>
      <c r="S34" s="103">
        <v>50</v>
      </c>
      <c r="T34" s="101">
        <v>50</v>
      </c>
      <c r="U34" s="116">
        <v>0</v>
      </c>
      <c r="V34" s="103">
        <v>40</v>
      </c>
      <c r="W34" s="101">
        <v>40</v>
      </c>
      <c r="X34" s="100">
        <v>0</v>
      </c>
      <c r="Y34" s="100">
        <v>28</v>
      </c>
      <c r="Z34" s="101">
        <v>28</v>
      </c>
      <c r="AA34" s="100">
        <v>0</v>
      </c>
      <c r="AB34" s="100">
        <v>48</v>
      </c>
      <c r="AC34" s="101">
        <v>48</v>
      </c>
      <c r="AD34" s="100">
        <v>0</v>
      </c>
      <c r="AE34" s="100">
        <v>43</v>
      </c>
      <c r="AF34" s="101">
        <v>43</v>
      </c>
      <c r="AG34" s="100">
        <v>0</v>
      </c>
      <c r="AH34" s="100">
        <v>49</v>
      </c>
      <c r="AI34" s="101">
        <v>49</v>
      </c>
      <c r="AJ34" s="100">
        <v>0</v>
      </c>
      <c r="AK34" s="100">
        <v>97</v>
      </c>
      <c r="AL34" s="101">
        <v>97</v>
      </c>
      <c r="AM34" s="100">
        <v>23</v>
      </c>
      <c r="AN34" s="100">
        <v>80</v>
      </c>
      <c r="AO34" s="101">
        <v>103</v>
      </c>
      <c r="AP34" s="100">
        <v>212</v>
      </c>
      <c r="AQ34" s="100">
        <v>82</v>
      </c>
      <c r="AR34" s="101">
        <v>294</v>
      </c>
      <c r="AS34" s="100">
        <v>212</v>
      </c>
      <c r="AT34" s="100">
        <v>125</v>
      </c>
      <c r="AU34" s="106">
        <f t="shared" si="0"/>
        <v>337</v>
      </c>
      <c r="AV34" s="107">
        <v>208</v>
      </c>
      <c r="AW34" s="107">
        <v>87</v>
      </c>
      <c r="AX34" s="108">
        <f t="shared" si="1"/>
        <v>295</v>
      </c>
      <c r="AY34" s="112">
        <f>447+AV34</f>
        <v>655</v>
      </c>
      <c r="AZ34" s="115">
        <f>673+AW34</f>
        <v>760</v>
      </c>
      <c r="BA34" s="111">
        <f t="shared" si="2"/>
        <v>1415</v>
      </c>
    </row>
    <row r="35" spans="2:53" ht="12">
      <c r="B35" s="99" t="s">
        <v>23</v>
      </c>
      <c r="C35" s="100">
        <v>0</v>
      </c>
      <c r="D35" s="100">
        <v>0</v>
      </c>
      <c r="E35" s="101">
        <v>0</v>
      </c>
      <c r="F35" s="100">
        <v>0</v>
      </c>
      <c r="G35" s="100">
        <v>0</v>
      </c>
      <c r="H35" s="101">
        <v>0</v>
      </c>
      <c r="I35" s="100">
        <v>0</v>
      </c>
      <c r="J35" s="100">
        <v>0</v>
      </c>
      <c r="K35" s="101">
        <v>0</v>
      </c>
      <c r="L35" s="100">
        <v>12</v>
      </c>
      <c r="M35" s="100">
        <v>0</v>
      </c>
      <c r="N35" s="101">
        <v>12</v>
      </c>
      <c r="O35" s="100">
        <v>26</v>
      </c>
      <c r="P35" s="100">
        <v>0</v>
      </c>
      <c r="Q35" s="101">
        <v>26</v>
      </c>
      <c r="R35" s="100">
        <v>20</v>
      </c>
      <c r="S35" s="100">
        <v>0</v>
      </c>
      <c r="T35" s="101">
        <v>20</v>
      </c>
      <c r="U35" s="116">
        <v>60</v>
      </c>
      <c r="V35" s="116">
        <v>0</v>
      </c>
      <c r="W35" s="101">
        <v>60</v>
      </c>
      <c r="X35" s="100">
        <v>73</v>
      </c>
      <c r="Y35" s="100">
        <v>0</v>
      </c>
      <c r="Z35" s="101">
        <v>73</v>
      </c>
      <c r="AA35" s="100">
        <v>77</v>
      </c>
      <c r="AB35" s="100">
        <v>0</v>
      </c>
      <c r="AC35" s="101">
        <v>77</v>
      </c>
      <c r="AD35" s="100">
        <v>43</v>
      </c>
      <c r="AE35" s="100">
        <v>0</v>
      </c>
      <c r="AF35" s="101">
        <v>37</v>
      </c>
      <c r="AG35" s="100">
        <v>59</v>
      </c>
      <c r="AH35" s="100">
        <v>0</v>
      </c>
      <c r="AI35" s="101">
        <v>59</v>
      </c>
      <c r="AJ35" s="100">
        <v>73</v>
      </c>
      <c r="AK35" s="100">
        <v>0</v>
      </c>
      <c r="AL35" s="101">
        <v>73</v>
      </c>
      <c r="AM35" s="100">
        <v>48</v>
      </c>
      <c r="AN35" s="100">
        <v>0</v>
      </c>
      <c r="AO35" s="101">
        <v>48</v>
      </c>
      <c r="AP35" s="100">
        <v>0</v>
      </c>
      <c r="AQ35" s="100">
        <v>0</v>
      </c>
      <c r="AR35" s="101">
        <v>0</v>
      </c>
      <c r="AS35" s="100">
        <v>0</v>
      </c>
      <c r="AT35" s="100">
        <v>0</v>
      </c>
      <c r="AU35" s="106">
        <f t="shared" si="0"/>
        <v>0</v>
      </c>
      <c r="AV35" s="107">
        <v>0</v>
      </c>
      <c r="AW35" s="107">
        <v>0</v>
      </c>
      <c r="AX35" s="108">
        <f t="shared" si="1"/>
        <v>0</v>
      </c>
      <c r="AY35" s="123">
        <v>483</v>
      </c>
      <c r="AZ35" s="113">
        <v>0</v>
      </c>
      <c r="BA35" s="111">
        <f t="shared" si="2"/>
        <v>483</v>
      </c>
    </row>
    <row r="36" spans="2:53" ht="12">
      <c r="B36" s="99" t="s">
        <v>151</v>
      </c>
      <c r="C36" s="124">
        <v>0</v>
      </c>
      <c r="D36" s="100">
        <v>0</v>
      </c>
      <c r="E36" s="125">
        <v>0</v>
      </c>
      <c r="F36" s="100">
        <v>0</v>
      </c>
      <c r="G36" s="100">
        <v>0</v>
      </c>
      <c r="H36" s="125">
        <v>0</v>
      </c>
      <c r="I36" s="100">
        <v>0</v>
      </c>
      <c r="J36" s="100">
        <v>0</v>
      </c>
      <c r="K36" s="125">
        <v>0</v>
      </c>
      <c r="L36" s="100">
        <v>0</v>
      </c>
      <c r="M36" s="100">
        <v>0</v>
      </c>
      <c r="N36" s="125">
        <v>0</v>
      </c>
      <c r="O36" s="100">
        <v>0</v>
      </c>
      <c r="P36" s="100">
        <v>0</v>
      </c>
      <c r="Q36" s="125">
        <v>0</v>
      </c>
      <c r="R36" s="100">
        <v>0</v>
      </c>
      <c r="S36" s="100">
        <v>0</v>
      </c>
      <c r="T36" s="125">
        <v>0</v>
      </c>
      <c r="U36" s="116">
        <v>0</v>
      </c>
      <c r="V36" s="116">
        <v>0</v>
      </c>
      <c r="W36" s="125">
        <v>0</v>
      </c>
      <c r="X36" s="100">
        <v>0</v>
      </c>
      <c r="Y36" s="100">
        <v>0</v>
      </c>
      <c r="Z36" s="125">
        <v>0</v>
      </c>
      <c r="AA36" s="100">
        <v>0</v>
      </c>
      <c r="AB36" s="100">
        <v>0</v>
      </c>
      <c r="AC36" s="126">
        <v>0</v>
      </c>
      <c r="AD36" s="100">
        <v>0</v>
      </c>
      <c r="AE36" s="100">
        <v>0</v>
      </c>
      <c r="AF36" s="126">
        <v>0</v>
      </c>
      <c r="AG36" s="100">
        <v>0</v>
      </c>
      <c r="AH36" s="100">
        <v>0</v>
      </c>
      <c r="AI36" s="126">
        <v>0</v>
      </c>
      <c r="AJ36" s="100">
        <v>0</v>
      </c>
      <c r="AK36" s="100">
        <v>0</v>
      </c>
      <c r="AL36" s="126">
        <v>0</v>
      </c>
      <c r="AM36" s="100">
        <v>0</v>
      </c>
      <c r="AN36" s="100">
        <v>0</v>
      </c>
      <c r="AO36" s="126">
        <v>0</v>
      </c>
      <c r="AP36" s="100">
        <v>0</v>
      </c>
      <c r="AQ36" s="100">
        <v>0</v>
      </c>
      <c r="AR36" s="101">
        <v>0</v>
      </c>
      <c r="AS36" s="100">
        <v>132</v>
      </c>
      <c r="AT36" s="100">
        <v>0</v>
      </c>
      <c r="AU36" s="106">
        <f t="shared" si="0"/>
        <v>132</v>
      </c>
      <c r="AV36" s="107">
        <v>94</v>
      </c>
      <c r="AW36" s="107">
        <v>0</v>
      </c>
      <c r="AX36" s="108">
        <f t="shared" si="1"/>
        <v>94</v>
      </c>
      <c r="AY36" s="123">
        <f>132+94</f>
        <v>226</v>
      </c>
      <c r="AZ36" s="113">
        <v>0</v>
      </c>
      <c r="BA36" s="111">
        <f t="shared" si="2"/>
        <v>226</v>
      </c>
    </row>
    <row r="37" spans="2:53" ht="12.75" thickBot="1">
      <c r="B37" s="99" t="s">
        <v>24</v>
      </c>
      <c r="C37" s="100">
        <v>0</v>
      </c>
      <c r="D37" s="100">
        <v>0</v>
      </c>
      <c r="E37" s="127">
        <v>0</v>
      </c>
      <c r="F37" s="100">
        <v>0</v>
      </c>
      <c r="G37" s="100">
        <v>0</v>
      </c>
      <c r="H37" s="127">
        <v>0</v>
      </c>
      <c r="I37" s="100">
        <v>0</v>
      </c>
      <c r="J37" s="100">
        <v>0</v>
      </c>
      <c r="K37" s="127">
        <v>0</v>
      </c>
      <c r="L37" s="100">
        <v>0</v>
      </c>
      <c r="M37" s="100">
        <v>0</v>
      </c>
      <c r="N37" s="127">
        <v>0</v>
      </c>
      <c r="O37" s="100">
        <v>0</v>
      </c>
      <c r="P37" s="100">
        <v>0</v>
      </c>
      <c r="Q37" s="127">
        <v>0</v>
      </c>
      <c r="R37" s="100">
        <v>0</v>
      </c>
      <c r="S37" s="100">
        <v>0</v>
      </c>
      <c r="T37" s="127">
        <v>0</v>
      </c>
      <c r="U37" s="116">
        <v>0</v>
      </c>
      <c r="V37" s="116">
        <v>0</v>
      </c>
      <c r="W37" s="127">
        <v>0</v>
      </c>
      <c r="X37" s="100">
        <v>0</v>
      </c>
      <c r="Y37" s="100">
        <v>0</v>
      </c>
      <c r="Z37" s="127">
        <v>0</v>
      </c>
      <c r="AA37" s="100">
        <v>32</v>
      </c>
      <c r="AB37" s="100">
        <v>0</v>
      </c>
      <c r="AC37" s="127">
        <v>32</v>
      </c>
      <c r="AD37" s="100">
        <v>110</v>
      </c>
      <c r="AE37" s="100">
        <v>0</v>
      </c>
      <c r="AF37" s="128">
        <v>110</v>
      </c>
      <c r="AG37" s="100">
        <v>78</v>
      </c>
      <c r="AH37" s="100">
        <v>0</v>
      </c>
      <c r="AI37" s="128">
        <v>78</v>
      </c>
      <c r="AJ37" s="100">
        <v>90</v>
      </c>
      <c r="AK37" s="100">
        <v>0</v>
      </c>
      <c r="AL37" s="128">
        <v>90</v>
      </c>
      <c r="AM37" s="100">
        <v>177</v>
      </c>
      <c r="AN37" s="100">
        <v>0</v>
      </c>
      <c r="AO37" s="128">
        <v>177</v>
      </c>
      <c r="AP37" s="100">
        <v>0</v>
      </c>
      <c r="AQ37" s="100">
        <v>0</v>
      </c>
      <c r="AR37" s="128">
        <v>0</v>
      </c>
      <c r="AS37" s="100">
        <v>0</v>
      </c>
      <c r="AT37" s="100">
        <v>0</v>
      </c>
      <c r="AU37" s="106">
        <f t="shared" si="0"/>
        <v>0</v>
      </c>
      <c r="AV37" s="107">
        <v>0</v>
      </c>
      <c r="AW37" s="107">
        <v>0</v>
      </c>
      <c r="AX37" s="108">
        <f t="shared" si="1"/>
        <v>0</v>
      </c>
      <c r="AY37" s="123">
        <v>487</v>
      </c>
      <c r="AZ37" s="113">
        <v>0</v>
      </c>
      <c r="BA37" s="111">
        <f t="shared" si="2"/>
        <v>487</v>
      </c>
    </row>
    <row r="38" spans="2:53" ht="20.25" customHeight="1" thickBot="1">
      <c r="B38" s="129" t="s">
        <v>2</v>
      </c>
      <c r="C38" s="130">
        <f aca="true" t="shared" si="3" ref="C38:L38">SUM(C9:C37)</f>
        <v>222</v>
      </c>
      <c r="D38" s="130">
        <f t="shared" si="3"/>
        <v>100</v>
      </c>
      <c r="E38" s="130">
        <f t="shared" si="3"/>
        <v>322</v>
      </c>
      <c r="F38" s="130">
        <f t="shared" si="3"/>
        <v>250</v>
      </c>
      <c r="G38" s="130">
        <f t="shared" si="3"/>
        <v>111</v>
      </c>
      <c r="H38" s="130">
        <f t="shared" si="3"/>
        <v>359</v>
      </c>
      <c r="I38" s="130">
        <f t="shared" si="3"/>
        <v>1053</v>
      </c>
      <c r="J38" s="130">
        <f t="shared" si="3"/>
        <v>494</v>
      </c>
      <c r="K38" s="130">
        <f t="shared" si="3"/>
        <v>1601</v>
      </c>
      <c r="L38" s="130">
        <f t="shared" si="3"/>
        <v>731</v>
      </c>
      <c r="M38" s="130">
        <f aca="true" t="shared" si="4" ref="M38:Y38">SUM(M9:M37)</f>
        <v>1545</v>
      </c>
      <c r="N38" s="130">
        <f t="shared" si="4"/>
        <v>2276</v>
      </c>
      <c r="O38" s="130">
        <f t="shared" si="4"/>
        <v>2005</v>
      </c>
      <c r="P38" s="130">
        <f t="shared" si="4"/>
        <v>2160</v>
      </c>
      <c r="Q38" s="130">
        <f t="shared" si="4"/>
        <v>4165</v>
      </c>
      <c r="R38" s="130">
        <f t="shared" si="4"/>
        <v>2650</v>
      </c>
      <c r="S38" s="130">
        <f t="shared" si="4"/>
        <v>1953</v>
      </c>
      <c r="T38" s="130">
        <f t="shared" si="4"/>
        <v>4603</v>
      </c>
      <c r="U38" s="130">
        <f t="shared" si="4"/>
        <v>3007</v>
      </c>
      <c r="V38" s="130">
        <f t="shared" si="4"/>
        <v>1939</v>
      </c>
      <c r="W38" s="130">
        <f t="shared" si="4"/>
        <v>4946</v>
      </c>
      <c r="X38" s="130">
        <f t="shared" si="4"/>
        <v>2391</v>
      </c>
      <c r="Y38" s="130">
        <f t="shared" si="4"/>
        <v>2414</v>
      </c>
      <c r="Z38" s="130">
        <f aca="true" t="shared" si="5" ref="Z38:AP38">SUM(Z9:Z37)</f>
        <v>4805</v>
      </c>
      <c r="AA38" s="130">
        <f t="shared" si="5"/>
        <v>2864</v>
      </c>
      <c r="AB38" s="130">
        <f t="shared" si="5"/>
        <v>2496</v>
      </c>
      <c r="AC38" s="130">
        <f t="shared" si="5"/>
        <v>5360</v>
      </c>
      <c r="AD38" s="130">
        <f t="shared" si="5"/>
        <v>3660</v>
      </c>
      <c r="AE38" s="130">
        <f t="shared" si="5"/>
        <v>3100</v>
      </c>
      <c r="AF38" s="130">
        <f>SUM(AF9:AF37)</f>
        <v>6754</v>
      </c>
      <c r="AG38" s="130">
        <f t="shared" si="5"/>
        <v>3454</v>
      </c>
      <c r="AH38" s="130">
        <f t="shared" si="5"/>
        <v>2803</v>
      </c>
      <c r="AI38" s="130">
        <f t="shared" si="5"/>
        <v>6257</v>
      </c>
      <c r="AJ38" s="130">
        <f t="shared" si="5"/>
        <v>4131</v>
      </c>
      <c r="AK38" s="130">
        <f t="shared" si="5"/>
        <v>3591</v>
      </c>
      <c r="AL38" s="130">
        <f t="shared" si="5"/>
        <v>7722</v>
      </c>
      <c r="AM38" s="130">
        <f t="shared" si="5"/>
        <v>5419</v>
      </c>
      <c r="AN38" s="130">
        <f t="shared" si="5"/>
        <v>5288</v>
      </c>
      <c r="AO38" s="130">
        <f t="shared" si="5"/>
        <v>10707</v>
      </c>
      <c r="AP38" s="130">
        <f t="shared" si="5"/>
        <v>5816</v>
      </c>
      <c r="AQ38" s="130">
        <f>SUM(AQ9:AQ35)</f>
        <v>7634</v>
      </c>
      <c r="AR38" s="130">
        <f aca="true" t="shared" si="6" ref="AR38:AW38">SUM(AR9:AR37)</f>
        <v>13450</v>
      </c>
      <c r="AS38" s="130">
        <f t="shared" si="6"/>
        <v>7614</v>
      </c>
      <c r="AT38" s="130">
        <f t="shared" si="6"/>
        <v>8523</v>
      </c>
      <c r="AU38" s="131">
        <f t="shared" si="6"/>
        <v>16137</v>
      </c>
      <c r="AV38" s="132">
        <f t="shared" si="6"/>
        <v>6057</v>
      </c>
      <c r="AW38" s="132">
        <f t="shared" si="6"/>
        <v>5454</v>
      </c>
      <c r="AX38" s="132">
        <f>AV38+AW38</f>
        <v>11511</v>
      </c>
      <c r="AY38" s="133">
        <f>SUM(AY9:AY37)</f>
        <v>51288</v>
      </c>
      <c r="AZ38" s="130">
        <f>SUM(AZ9:AZ37)</f>
        <v>49905</v>
      </c>
      <c r="BA38" s="130">
        <v>100975</v>
      </c>
    </row>
    <row r="39" spans="3:53" s="134" customFormat="1" ht="12">
      <c r="C39" s="135"/>
      <c r="D39" s="135"/>
      <c r="E39" s="136"/>
      <c r="F39" s="135"/>
      <c r="G39" s="135"/>
      <c r="H39" s="136"/>
      <c r="I39" s="137"/>
      <c r="J39" s="137"/>
      <c r="K39" s="138"/>
      <c r="L39" s="137"/>
      <c r="M39" s="137"/>
      <c r="N39" s="137"/>
      <c r="O39" s="135"/>
      <c r="P39" s="135"/>
      <c r="Q39" s="76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BA39" s="139"/>
    </row>
    <row r="40" spans="2:53" ht="12">
      <c r="B40" s="140" t="s">
        <v>168</v>
      </c>
      <c r="C40" s="135"/>
      <c r="D40" s="135"/>
      <c r="E40" s="136"/>
      <c r="F40" s="135"/>
      <c r="G40" s="135"/>
      <c r="H40" s="136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  <c r="BA40" s="135"/>
    </row>
    <row r="41" spans="2:51" ht="12">
      <c r="B41" s="141" t="s">
        <v>169</v>
      </c>
      <c r="AY41" s="139"/>
    </row>
  </sheetData>
  <sheetProtection/>
  <mergeCells count="20">
    <mergeCell ref="U7:W7"/>
    <mergeCell ref="AG7:AI7"/>
    <mergeCell ref="X7:Z7"/>
    <mergeCell ref="AA7:AC7"/>
    <mergeCell ref="AD7:AF7"/>
    <mergeCell ref="AY7:BA7"/>
    <mergeCell ref="AM7:AO7"/>
    <mergeCell ref="AP7:AR7"/>
    <mergeCell ref="AS7:AU7"/>
    <mergeCell ref="AV7:AX7"/>
    <mergeCell ref="B3:BA3"/>
    <mergeCell ref="B4:BA4"/>
    <mergeCell ref="B5:BA5"/>
    <mergeCell ref="B7:B8"/>
    <mergeCell ref="F7:H7"/>
    <mergeCell ref="I7:K7"/>
    <mergeCell ref="L7:N7"/>
    <mergeCell ref="O7:Q7"/>
    <mergeCell ref="R7:T7"/>
    <mergeCell ref="AJ7:AL7"/>
  </mergeCells>
  <printOptions/>
  <pageMargins left="0.1968503937007874" right="0.1968503937007874" top="0.7480314960629921" bottom="0.7480314960629921" header="0.31496062992125984" footer="0.31496062992125984"/>
  <pageSetup fitToHeight="1" fitToWidth="1" horizontalDpi="600" verticalDpi="600" orientation="landscape" paperSize="5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4:T167"/>
  <sheetViews>
    <sheetView zoomScale="115" zoomScaleNormal="115" zoomScaleSheetLayoutView="85" workbookViewId="0" topLeftCell="A1">
      <selection activeCell="S165" sqref="S165"/>
    </sheetView>
  </sheetViews>
  <sheetFormatPr defaultColWidth="11.421875" defaultRowHeight="15"/>
  <cols>
    <col min="1" max="1" width="5.421875" style="1" customWidth="1"/>
    <col min="2" max="2" width="69.28125" style="69" customWidth="1"/>
    <col min="3" max="3" width="7.8515625" style="69" customWidth="1"/>
    <col min="4" max="4" width="5.7109375" style="69" customWidth="1"/>
    <col min="5" max="5" width="8.28125" style="69" customWidth="1"/>
    <col min="6" max="6" width="6.7109375" style="69" customWidth="1"/>
    <col min="7" max="7" width="6.57421875" style="70" customWidth="1"/>
    <col min="8" max="8" width="6.421875" style="70" customWidth="1"/>
    <col min="9" max="9" width="6.8515625" style="70" customWidth="1"/>
    <col min="10" max="10" width="6.421875" style="70" customWidth="1"/>
    <col min="11" max="11" width="6.57421875" style="70" customWidth="1"/>
    <col min="12" max="13" width="6.7109375" style="7" customWidth="1"/>
    <col min="14" max="14" width="6.57421875" style="7" customWidth="1"/>
    <col min="15" max="15" width="8.421875" style="7" customWidth="1"/>
    <col min="16" max="18" width="7.7109375" style="63" customWidth="1"/>
    <col min="19" max="19" width="8.57421875" style="63" bestFit="1" customWidth="1"/>
    <col min="20" max="16384" width="11.421875" style="7" customWidth="1"/>
  </cols>
  <sheetData>
    <row r="1" ht="14.25"/>
    <row r="2" ht="14.25"/>
    <row r="3" ht="14.25"/>
    <row r="4" spans="2:19" s="1" customFormat="1" ht="14.25">
      <c r="B4" s="71" t="s">
        <v>164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</row>
    <row r="5" spans="2:19" s="1" customFormat="1" ht="14.25">
      <c r="B5" s="71" t="s">
        <v>163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2:19" s="1" customFormat="1" ht="14.25">
      <c r="B6" s="72" t="s">
        <v>0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2:19" s="1" customFormat="1" ht="14.25"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</row>
    <row r="8" spans="2:19" ht="23.25" customHeight="1" thickBot="1">
      <c r="B8" s="2" t="s">
        <v>1</v>
      </c>
      <c r="C8" s="3">
        <v>2005</v>
      </c>
      <c r="D8" s="3">
        <v>2006</v>
      </c>
      <c r="E8" s="4">
        <v>2007</v>
      </c>
      <c r="F8" s="3">
        <v>2008</v>
      </c>
      <c r="G8" s="3">
        <v>2009</v>
      </c>
      <c r="H8" s="3">
        <v>2010</v>
      </c>
      <c r="I8" s="3">
        <v>2011</v>
      </c>
      <c r="J8" s="3">
        <v>2012</v>
      </c>
      <c r="K8" s="3">
        <v>2013</v>
      </c>
      <c r="L8" s="5">
        <v>2014</v>
      </c>
      <c r="M8" s="5">
        <v>2015</v>
      </c>
      <c r="N8" s="5">
        <v>2016</v>
      </c>
      <c r="O8" s="5">
        <v>2017</v>
      </c>
      <c r="P8" s="3">
        <v>2018</v>
      </c>
      <c r="Q8" s="6">
        <v>2019</v>
      </c>
      <c r="R8" s="6">
        <v>2020</v>
      </c>
      <c r="S8" s="6" t="s">
        <v>132</v>
      </c>
    </row>
    <row r="9" spans="2:20" s="8" customFormat="1" ht="14.25">
      <c r="B9" s="9" t="s">
        <v>5</v>
      </c>
      <c r="C9" s="10">
        <v>1</v>
      </c>
      <c r="D9" s="10">
        <v>1</v>
      </c>
      <c r="E9" s="11">
        <v>103</v>
      </c>
      <c r="F9" s="12">
        <v>28</v>
      </c>
      <c r="G9" s="12">
        <v>90</v>
      </c>
      <c r="H9" s="12">
        <v>157</v>
      </c>
      <c r="I9" s="12">
        <v>174</v>
      </c>
      <c r="J9" s="12">
        <v>177</v>
      </c>
      <c r="K9" s="12">
        <v>152</v>
      </c>
      <c r="L9" s="12">
        <v>165</v>
      </c>
      <c r="M9" s="12">
        <v>135</v>
      </c>
      <c r="N9" s="12">
        <v>234</v>
      </c>
      <c r="O9" s="12">
        <v>291</v>
      </c>
      <c r="P9" s="13">
        <v>263</v>
      </c>
      <c r="Q9" s="14">
        <v>316</v>
      </c>
      <c r="R9" s="14">
        <v>292</v>
      </c>
      <c r="S9" s="15">
        <f>C9+D9+E9+F9+G9+H9+I9+J9+K9+L9+M9+N9+O9+P9+Q9+R9</f>
        <v>2579</v>
      </c>
      <c r="T9" s="16"/>
    </row>
    <row r="10" spans="2:19" s="8" customFormat="1" ht="28.5">
      <c r="B10" s="9" t="s">
        <v>26</v>
      </c>
      <c r="C10" s="10">
        <v>4</v>
      </c>
      <c r="D10" s="10">
        <v>3</v>
      </c>
      <c r="E10" s="11">
        <v>9</v>
      </c>
      <c r="F10" s="12">
        <v>20</v>
      </c>
      <c r="G10" s="12">
        <v>43</v>
      </c>
      <c r="H10" s="12">
        <v>53</v>
      </c>
      <c r="I10" s="12">
        <v>37</v>
      </c>
      <c r="J10" s="12">
        <v>57</v>
      </c>
      <c r="K10" s="12">
        <v>46</v>
      </c>
      <c r="L10" s="12">
        <v>59</v>
      </c>
      <c r="M10" s="12">
        <v>55</v>
      </c>
      <c r="N10" s="12">
        <v>52</v>
      </c>
      <c r="O10" s="12">
        <v>142</v>
      </c>
      <c r="P10" s="13">
        <v>113</v>
      </c>
      <c r="Q10" s="14">
        <v>140</v>
      </c>
      <c r="R10" s="14">
        <v>157</v>
      </c>
      <c r="S10" s="15">
        <f>C10+D10+E10+F10+G10+H10+I10+J10+K10+L10+M10+N10+O10+P10+Q10</f>
        <v>833</v>
      </c>
    </row>
    <row r="11" spans="2:20" s="8" customFormat="1" ht="14.25">
      <c r="B11" s="9" t="s">
        <v>136</v>
      </c>
      <c r="C11" s="10">
        <v>0</v>
      </c>
      <c r="D11" s="10">
        <v>1</v>
      </c>
      <c r="E11" s="11">
        <v>18</v>
      </c>
      <c r="F11" s="12">
        <v>8</v>
      </c>
      <c r="G11" s="12">
        <v>23</v>
      </c>
      <c r="H11" s="12">
        <v>20</v>
      </c>
      <c r="I11" s="12">
        <v>12</v>
      </c>
      <c r="J11" s="12">
        <v>16</v>
      </c>
      <c r="K11" s="12">
        <v>42</v>
      </c>
      <c r="L11" s="12">
        <v>13</v>
      </c>
      <c r="M11" s="12">
        <v>12</v>
      </c>
      <c r="N11" s="12">
        <v>31</v>
      </c>
      <c r="O11" s="12">
        <v>27</v>
      </c>
      <c r="P11" s="13">
        <v>22</v>
      </c>
      <c r="Q11" s="14">
        <v>20</v>
      </c>
      <c r="R11" s="14">
        <v>22</v>
      </c>
      <c r="S11" s="15">
        <f>C11+D11+E11+F11+G11+H11+I11+J11+K11+L11+M11+N11+O11+P11+Q11</f>
        <v>265</v>
      </c>
      <c r="T11" s="16"/>
    </row>
    <row r="12" spans="2:19" s="8" customFormat="1" ht="15" thickBot="1">
      <c r="B12" s="9" t="s">
        <v>27</v>
      </c>
      <c r="C12" s="10">
        <v>23</v>
      </c>
      <c r="D12" s="10">
        <v>8</v>
      </c>
      <c r="E12" s="11">
        <v>37</v>
      </c>
      <c r="F12" s="12">
        <v>9</v>
      </c>
      <c r="G12" s="12">
        <v>62</v>
      </c>
      <c r="H12" s="12">
        <v>46</v>
      </c>
      <c r="I12" s="12">
        <v>47</v>
      </c>
      <c r="J12" s="12">
        <v>55</v>
      </c>
      <c r="K12" s="12">
        <v>70</v>
      </c>
      <c r="L12" s="12">
        <v>44</v>
      </c>
      <c r="M12" s="12">
        <v>27</v>
      </c>
      <c r="N12" s="12">
        <v>69</v>
      </c>
      <c r="O12" s="12">
        <v>82</v>
      </c>
      <c r="P12" s="13">
        <v>50</v>
      </c>
      <c r="Q12" s="14">
        <v>44</v>
      </c>
      <c r="R12" s="14">
        <v>38</v>
      </c>
      <c r="S12" s="15">
        <f>C12+D12+E12+F12+G12+H12+I12+J12+K12+L12+M12+N12+O12+P12+Q12</f>
        <v>673</v>
      </c>
    </row>
    <row r="13" spans="2:20" ht="15" thickBot="1">
      <c r="B13" s="17" t="s">
        <v>28</v>
      </c>
      <c r="C13" s="18">
        <f>C9+C10+C11+C12</f>
        <v>28</v>
      </c>
      <c r="D13" s="18">
        <f aca="true" t="shared" si="0" ref="D13:P13">D9+D10+D11+D12</f>
        <v>13</v>
      </c>
      <c r="E13" s="19">
        <f>E9+E10+E11+E12</f>
        <v>167</v>
      </c>
      <c r="F13" s="18">
        <f t="shared" si="0"/>
        <v>65</v>
      </c>
      <c r="G13" s="18">
        <f t="shared" si="0"/>
        <v>218</v>
      </c>
      <c r="H13" s="18">
        <f t="shared" si="0"/>
        <v>276</v>
      </c>
      <c r="I13" s="18">
        <f t="shared" si="0"/>
        <v>270</v>
      </c>
      <c r="J13" s="18">
        <f t="shared" si="0"/>
        <v>305</v>
      </c>
      <c r="K13" s="18">
        <f t="shared" si="0"/>
        <v>310</v>
      </c>
      <c r="L13" s="18">
        <f t="shared" si="0"/>
        <v>281</v>
      </c>
      <c r="M13" s="18">
        <f t="shared" si="0"/>
        <v>229</v>
      </c>
      <c r="N13" s="18">
        <f t="shared" si="0"/>
        <v>386</v>
      </c>
      <c r="O13" s="18">
        <f t="shared" si="0"/>
        <v>542</v>
      </c>
      <c r="P13" s="19">
        <f t="shared" si="0"/>
        <v>448</v>
      </c>
      <c r="Q13" s="20">
        <f>SUM(Q9:Q12)</f>
        <v>520</v>
      </c>
      <c r="R13" s="20">
        <f>SUM(R9:R12)</f>
        <v>509</v>
      </c>
      <c r="S13" s="20">
        <f>SUM(S9:S12)</f>
        <v>4350</v>
      </c>
      <c r="T13" s="21"/>
    </row>
    <row r="14" spans="2:19" s="8" customFormat="1" ht="15" thickBot="1">
      <c r="B14" s="9" t="s">
        <v>6</v>
      </c>
      <c r="C14" s="10">
        <v>0</v>
      </c>
      <c r="D14" s="10">
        <v>0</v>
      </c>
      <c r="E14" s="11">
        <v>5</v>
      </c>
      <c r="F14" s="12">
        <v>18</v>
      </c>
      <c r="G14" s="12">
        <v>10</v>
      </c>
      <c r="H14" s="12">
        <v>18</v>
      </c>
      <c r="I14" s="12">
        <v>27</v>
      </c>
      <c r="J14" s="12">
        <v>18</v>
      </c>
      <c r="K14" s="12">
        <v>13</v>
      </c>
      <c r="L14" s="12">
        <v>19</v>
      </c>
      <c r="M14" s="12">
        <v>30</v>
      </c>
      <c r="N14" s="12">
        <v>17</v>
      </c>
      <c r="O14" s="12">
        <v>27</v>
      </c>
      <c r="P14" s="13">
        <v>25</v>
      </c>
      <c r="Q14" s="14">
        <v>38</v>
      </c>
      <c r="R14" s="14">
        <v>31</v>
      </c>
      <c r="S14" s="15">
        <f>C14+D14+E14+F14+G14+H14+I14+J14+K14+L14+M14+N14+O14+P14+Q14+R14</f>
        <v>296</v>
      </c>
    </row>
    <row r="15" spans="2:19" s="8" customFormat="1" ht="15" thickBot="1">
      <c r="B15" s="17" t="s">
        <v>29</v>
      </c>
      <c r="C15" s="18">
        <f>C14</f>
        <v>0</v>
      </c>
      <c r="D15" s="18">
        <f aca="true" t="shared" si="1" ref="D15:S15">D14</f>
        <v>0</v>
      </c>
      <c r="E15" s="19">
        <f t="shared" si="1"/>
        <v>5</v>
      </c>
      <c r="F15" s="18">
        <f t="shared" si="1"/>
        <v>18</v>
      </c>
      <c r="G15" s="18">
        <f t="shared" si="1"/>
        <v>10</v>
      </c>
      <c r="H15" s="18">
        <f t="shared" si="1"/>
        <v>18</v>
      </c>
      <c r="I15" s="18">
        <f t="shared" si="1"/>
        <v>27</v>
      </c>
      <c r="J15" s="18">
        <f t="shared" si="1"/>
        <v>18</v>
      </c>
      <c r="K15" s="18">
        <f t="shared" si="1"/>
        <v>13</v>
      </c>
      <c r="L15" s="18">
        <f t="shared" si="1"/>
        <v>19</v>
      </c>
      <c r="M15" s="18">
        <f t="shared" si="1"/>
        <v>30</v>
      </c>
      <c r="N15" s="18">
        <f t="shared" si="1"/>
        <v>17</v>
      </c>
      <c r="O15" s="18">
        <f t="shared" si="1"/>
        <v>27</v>
      </c>
      <c r="P15" s="19">
        <f t="shared" si="1"/>
        <v>25</v>
      </c>
      <c r="Q15" s="20">
        <v>38</v>
      </c>
      <c r="R15" s="20">
        <f>R14</f>
        <v>31</v>
      </c>
      <c r="S15" s="22">
        <f t="shared" si="1"/>
        <v>296</v>
      </c>
    </row>
    <row r="16" spans="2:19" s="8" customFormat="1" ht="14.25">
      <c r="B16" s="9" t="s">
        <v>7</v>
      </c>
      <c r="C16" s="10">
        <v>21</v>
      </c>
      <c r="D16" s="10">
        <v>25</v>
      </c>
      <c r="E16" s="11">
        <v>117</v>
      </c>
      <c r="F16" s="12">
        <v>73</v>
      </c>
      <c r="G16" s="12">
        <v>170</v>
      </c>
      <c r="H16" s="12">
        <v>251</v>
      </c>
      <c r="I16" s="12">
        <v>319</v>
      </c>
      <c r="J16" s="12">
        <v>173</v>
      </c>
      <c r="K16" s="12">
        <v>224</v>
      </c>
      <c r="L16" s="12">
        <v>226</v>
      </c>
      <c r="M16" s="12">
        <v>268</v>
      </c>
      <c r="N16" s="12">
        <v>246</v>
      </c>
      <c r="O16" s="12">
        <v>309</v>
      </c>
      <c r="P16" s="13">
        <v>290</v>
      </c>
      <c r="Q16" s="14">
        <v>334</v>
      </c>
      <c r="R16" s="14">
        <v>405</v>
      </c>
      <c r="S16" s="15">
        <f>C16+D16+E16+F16+G16+H16+I16+J16+K16+L16+M16+N16+O16+P16+Q16+R16</f>
        <v>3451</v>
      </c>
    </row>
    <row r="17" spans="2:19" s="8" customFormat="1" ht="14.25">
      <c r="B17" s="9" t="s">
        <v>30</v>
      </c>
      <c r="C17" s="10">
        <v>19</v>
      </c>
      <c r="D17" s="10">
        <v>0</v>
      </c>
      <c r="E17" s="11">
        <v>0</v>
      </c>
      <c r="F17" s="12">
        <v>0</v>
      </c>
      <c r="G17" s="12">
        <v>0</v>
      </c>
      <c r="H17" s="12">
        <v>0</v>
      </c>
      <c r="I17" s="12">
        <v>0</v>
      </c>
      <c r="J17" s="12">
        <v>232</v>
      </c>
      <c r="K17" s="12">
        <v>264</v>
      </c>
      <c r="L17" s="12">
        <v>264</v>
      </c>
      <c r="M17" s="12">
        <v>756</v>
      </c>
      <c r="N17" s="12">
        <v>331</v>
      </c>
      <c r="O17" s="12">
        <v>466</v>
      </c>
      <c r="P17" s="13">
        <v>0</v>
      </c>
      <c r="Q17" s="14">
        <v>0</v>
      </c>
      <c r="R17" s="14">
        <v>0</v>
      </c>
      <c r="S17" s="15">
        <f aca="true" t="shared" si="2" ref="S17:S22">C17+D17+E17+F17+G17+H17+I17+J17+K17+L17+M17+N17+O17+P17+Q17+R17</f>
        <v>2332</v>
      </c>
    </row>
    <row r="18" spans="2:19" s="8" customFormat="1" ht="14.25">
      <c r="B18" s="9" t="s">
        <v>31</v>
      </c>
      <c r="C18" s="10">
        <v>0</v>
      </c>
      <c r="D18" s="10">
        <v>0</v>
      </c>
      <c r="E18" s="11">
        <v>0</v>
      </c>
      <c r="F18" s="12">
        <v>0</v>
      </c>
      <c r="G18" s="12">
        <v>0</v>
      </c>
      <c r="H18" s="12">
        <v>17</v>
      </c>
      <c r="I18" s="12">
        <v>18</v>
      </c>
      <c r="J18" s="12">
        <v>26</v>
      </c>
      <c r="K18" s="12">
        <v>19</v>
      </c>
      <c r="L18" s="12">
        <v>33</v>
      </c>
      <c r="M18" s="12">
        <v>22</v>
      </c>
      <c r="N18" s="12">
        <v>41</v>
      </c>
      <c r="O18" s="12">
        <v>67</v>
      </c>
      <c r="P18" s="13">
        <v>76</v>
      </c>
      <c r="Q18" s="14">
        <v>78</v>
      </c>
      <c r="R18" s="14">
        <v>70</v>
      </c>
      <c r="S18" s="15">
        <f t="shared" si="2"/>
        <v>467</v>
      </c>
    </row>
    <row r="19" spans="2:19" s="8" customFormat="1" ht="14.25">
      <c r="B19" s="9" t="s">
        <v>127</v>
      </c>
      <c r="C19" s="10">
        <v>0</v>
      </c>
      <c r="D19" s="10">
        <v>0</v>
      </c>
      <c r="E19" s="11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32</v>
      </c>
      <c r="P19" s="13">
        <v>63</v>
      </c>
      <c r="Q19" s="14">
        <v>18</v>
      </c>
      <c r="R19" s="14">
        <v>0</v>
      </c>
      <c r="S19" s="15">
        <f t="shared" si="2"/>
        <v>113</v>
      </c>
    </row>
    <row r="20" spans="2:19" s="8" customFormat="1" ht="14.25">
      <c r="B20" s="9" t="s">
        <v>126</v>
      </c>
      <c r="C20" s="10">
        <v>0</v>
      </c>
      <c r="D20" s="10">
        <v>0</v>
      </c>
      <c r="E20" s="11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3</v>
      </c>
      <c r="N20" s="12">
        <v>17</v>
      </c>
      <c r="O20" s="12">
        <v>14</v>
      </c>
      <c r="P20" s="13">
        <v>17</v>
      </c>
      <c r="Q20" s="14">
        <v>18</v>
      </c>
      <c r="R20" s="14">
        <v>21</v>
      </c>
      <c r="S20" s="15">
        <f t="shared" si="2"/>
        <v>90</v>
      </c>
    </row>
    <row r="21" spans="2:19" s="8" customFormat="1" ht="14.25">
      <c r="B21" s="9" t="s">
        <v>32</v>
      </c>
      <c r="C21" s="10">
        <v>0</v>
      </c>
      <c r="D21" s="10">
        <v>0</v>
      </c>
      <c r="E21" s="11">
        <v>3</v>
      </c>
      <c r="F21" s="12">
        <v>4</v>
      </c>
      <c r="G21" s="12">
        <v>8</v>
      </c>
      <c r="H21" s="12">
        <v>5</v>
      </c>
      <c r="I21" s="12">
        <v>7</v>
      </c>
      <c r="J21" s="12">
        <v>4</v>
      </c>
      <c r="K21" s="12">
        <v>8</v>
      </c>
      <c r="L21" s="12">
        <v>11</v>
      </c>
      <c r="M21" s="12">
        <v>0</v>
      </c>
      <c r="N21" s="12">
        <v>9</v>
      </c>
      <c r="O21" s="12">
        <v>7</v>
      </c>
      <c r="P21" s="13">
        <v>10</v>
      </c>
      <c r="Q21" s="14">
        <v>16</v>
      </c>
      <c r="R21" s="14">
        <v>8</v>
      </c>
      <c r="S21" s="15">
        <f t="shared" si="2"/>
        <v>100</v>
      </c>
    </row>
    <row r="22" spans="2:19" s="8" customFormat="1" ht="15" thickBot="1">
      <c r="B22" s="9" t="s">
        <v>125</v>
      </c>
      <c r="C22" s="10">
        <v>0</v>
      </c>
      <c r="D22" s="10">
        <v>0</v>
      </c>
      <c r="E22" s="11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25</v>
      </c>
      <c r="O22" s="12">
        <v>151</v>
      </c>
      <c r="P22" s="13">
        <v>89</v>
      </c>
      <c r="Q22" s="14">
        <v>211</v>
      </c>
      <c r="R22" s="14">
        <v>108</v>
      </c>
      <c r="S22" s="15">
        <f t="shared" si="2"/>
        <v>584</v>
      </c>
    </row>
    <row r="23" spans="2:19" ht="15" thickBot="1">
      <c r="B23" s="17" t="s">
        <v>33</v>
      </c>
      <c r="C23" s="18">
        <f>C16+C17+C18+C19+C20+C21+C22</f>
        <v>40</v>
      </c>
      <c r="D23" s="18">
        <f aca="true" t="shared" si="3" ref="D23:S23">D16+D17+D18+D19+D20+D21+D22</f>
        <v>25</v>
      </c>
      <c r="E23" s="19">
        <f t="shared" si="3"/>
        <v>120</v>
      </c>
      <c r="F23" s="18">
        <f t="shared" si="3"/>
        <v>77</v>
      </c>
      <c r="G23" s="18">
        <f t="shared" si="3"/>
        <v>178</v>
      </c>
      <c r="H23" s="18">
        <f t="shared" si="3"/>
        <v>273</v>
      </c>
      <c r="I23" s="18">
        <f t="shared" si="3"/>
        <v>344</v>
      </c>
      <c r="J23" s="18">
        <f t="shared" si="3"/>
        <v>435</v>
      </c>
      <c r="K23" s="18">
        <f t="shared" si="3"/>
        <v>515</v>
      </c>
      <c r="L23" s="18">
        <f t="shared" si="3"/>
        <v>534</v>
      </c>
      <c r="M23" s="18">
        <f t="shared" si="3"/>
        <v>1049</v>
      </c>
      <c r="N23" s="18">
        <f t="shared" si="3"/>
        <v>669</v>
      </c>
      <c r="O23" s="18">
        <f t="shared" si="3"/>
        <v>1046</v>
      </c>
      <c r="P23" s="19">
        <f t="shared" si="3"/>
        <v>545</v>
      </c>
      <c r="Q23" s="20">
        <f>SUM(Q16:Q22)</f>
        <v>675</v>
      </c>
      <c r="R23" s="20">
        <f>SUM(R16:R22)</f>
        <v>612</v>
      </c>
      <c r="S23" s="22">
        <f t="shared" si="3"/>
        <v>7137</v>
      </c>
    </row>
    <row r="24" spans="2:19" s="8" customFormat="1" ht="15" thickBot="1">
      <c r="B24" s="9" t="s">
        <v>141</v>
      </c>
      <c r="C24" s="10">
        <v>0</v>
      </c>
      <c r="D24" s="10">
        <v>0</v>
      </c>
      <c r="E24" s="11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9</v>
      </c>
      <c r="P24" s="13">
        <v>483</v>
      </c>
      <c r="Q24" s="14">
        <v>627</v>
      </c>
      <c r="R24" s="14">
        <v>711</v>
      </c>
      <c r="S24" s="15">
        <f>C24+D24+E24+F24+G24+H24+I24+J24+K24+L24+M24+N24+O24+P24+Q24+R24</f>
        <v>1830</v>
      </c>
    </row>
    <row r="25" spans="2:19" ht="15" thickBot="1">
      <c r="B25" s="17" t="s">
        <v>142</v>
      </c>
      <c r="C25" s="18">
        <f>C24</f>
        <v>0</v>
      </c>
      <c r="D25" s="18">
        <f aca="true" t="shared" si="4" ref="D25:S25">D24</f>
        <v>0</v>
      </c>
      <c r="E25" s="19">
        <f t="shared" si="4"/>
        <v>0</v>
      </c>
      <c r="F25" s="18">
        <f t="shared" si="4"/>
        <v>0</v>
      </c>
      <c r="G25" s="18">
        <f t="shared" si="4"/>
        <v>0</v>
      </c>
      <c r="H25" s="18">
        <f t="shared" si="4"/>
        <v>0</v>
      </c>
      <c r="I25" s="18">
        <f t="shared" si="4"/>
        <v>0</v>
      </c>
      <c r="J25" s="18">
        <f t="shared" si="4"/>
        <v>0</v>
      </c>
      <c r="K25" s="18">
        <f t="shared" si="4"/>
        <v>0</v>
      </c>
      <c r="L25" s="18">
        <f t="shared" si="4"/>
        <v>0</v>
      </c>
      <c r="M25" s="18">
        <f t="shared" si="4"/>
        <v>0</v>
      </c>
      <c r="N25" s="18">
        <f t="shared" si="4"/>
        <v>0</v>
      </c>
      <c r="O25" s="18">
        <f t="shared" si="4"/>
        <v>9</v>
      </c>
      <c r="P25" s="19">
        <f t="shared" si="4"/>
        <v>483</v>
      </c>
      <c r="Q25" s="20">
        <v>627</v>
      </c>
      <c r="R25" s="20">
        <f>R24</f>
        <v>711</v>
      </c>
      <c r="S25" s="22">
        <f t="shared" si="4"/>
        <v>1830</v>
      </c>
    </row>
    <row r="26" spans="2:19" s="8" customFormat="1" ht="14.25">
      <c r="B26" s="9" t="s">
        <v>8</v>
      </c>
      <c r="C26" s="10">
        <v>59</v>
      </c>
      <c r="D26" s="10">
        <v>31</v>
      </c>
      <c r="E26" s="11">
        <v>158</v>
      </c>
      <c r="F26" s="12">
        <v>89</v>
      </c>
      <c r="G26" s="12">
        <v>221</v>
      </c>
      <c r="H26" s="12">
        <v>335</v>
      </c>
      <c r="I26" s="12">
        <v>325</v>
      </c>
      <c r="J26" s="12">
        <v>350</v>
      </c>
      <c r="K26" s="12">
        <v>415</v>
      </c>
      <c r="L26" s="12">
        <v>316</v>
      </c>
      <c r="M26" s="12">
        <v>319</v>
      </c>
      <c r="N26" s="12">
        <v>571</v>
      </c>
      <c r="O26" s="12">
        <v>832</v>
      </c>
      <c r="P26" s="13">
        <v>665</v>
      </c>
      <c r="Q26" s="14">
        <v>1099</v>
      </c>
      <c r="R26" s="14">
        <v>653</v>
      </c>
      <c r="S26" s="15">
        <f>C26+D26+E26+F26+G26+H26+I26+J26+K26+L26+M26+N26+O26+P26+Q26+R26</f>
        <v>6438</v>
      </c>
    </row>
    <row r="27" spans="2:19" s="8" customFormat="1" ht="28.5">
      <c r="B27" s="9" t="s">
        <v>133</v>
      </c>
      <c r="C27" s="10">
        <v>0</v>
      </c>
      <c r="D27" s="10">
        <v>0</v>
      </c>
      <c r="E27" s="11">
        <v>12</v>
      </c>
      <c r="F27" s="12">
        <v>10</v>
      </c>
      <c r="G27" s="12">
        <v>17</v>
      </c>
      <c r="H27" s="12">
        <v>32</v>
      </c>
      <c r="I27" s="12">
        <v>30</v>
      </c>
      <c r="J27" s="12">
        <v>25</v>
      </c>
      <c r="K27" s="12">
        <v>19</v>
      </c>
      <c r="L27" s="12">
        <v>21</v>
      </c>
      <c r="M27" s="12">
        <v>14</v>
      </c>
      <c r="N27" s="12">
        <v>32</v>
      </c>
      <c r="O27" s="12">
        <v>40</v>
      </c>
      <c r="P27" s="13">
        <v>54</v>
      </c>
      <c r="Q27" s="14">
        <v>68</v>
      </c>
      <c r="R27" s="14">
        <v>75</v>
      </c>
      <c r="S27" s="15">
        <f aca="true" t="shared" si="5" ref="S27:S34">C27+D27+E27+F27+G27+H27+I27+J27+K27+L27+M27+N27+O27+P27+Q27+R27</f>
        <v>449</v>
      </c>
    </row>
    <row r="28" spans="2:19" s="8" customFormat="1" ht="14.25">
      <c r="B28" s="9" t="s">
        <v>134</v>
      </c>
      <c r="C28" s="10">
        <v>0</v>
      </c>
      <c r="D28" s="10">
        <v>0</v>
      </c>
      <c r="E28" s="11">
        <v>8</v>
      </c>
      <c r="F28" s="12">
        <v>2</v>
      </c>
      <c r="G28" s="12">
        <v>13</v>
      </c>
      <c r="H28" s="12">
        <v>17</v>
      </c>
      <c r="I28" s="12">
        <v>10</v>
      </c>
      <c r="J28" s="12">
        <v>23</v>
      </c>
      <c r="K28" s="12">
        <v>15</v>
      </c>
      <c r="L28" s="12">
        <v>11</v>
      </c>
      <c r="M28" s="12">
        <v>3</v>
      </c>
      <c r="N28" s="12">
        <v>25</v>
      </c>
      <c r="O28" s="12">
        <v>20</v>
      </c>
      <c r="P28" s="13">
        <v>28</v>
      </c>
      <c r="Q28" s="14">
        <v>40</v>
      </c>
      <c r="R28" s="14">
        <v>49</v>
      </c>
      <c r="S28" s="15">
        <f t="shared" si="5"/>
        <v>264</v>
      </c>
    </row>
    <row r="29" spans="2:19" s="8" customFormat="1" ht="14.25">
      <c r="B29" s="9" t="s">
        <v>34</v>
      </c>
      <c r="C29" s="10">
        <v>0</v>
      </c>
      <c r="D29" s="10">
        <v>0</v>
      </c>
      <c r="E29" s="11">
        <v>5</v>
      </c>
      <c r="F29" s="12">
        <v>3</v>
      </c>
      <c r="G29" s="12">
        <v>15</v>
      </c>
      <c r="H29" s="12">
        <v>15</v>
      </c>
      <c r="I29" s="12">
        <v>12</v>
      </c>
      <c r="J29" s="12">
        <v>23</v>
      </c>
      <c r="K29" s="12">
        <v>28</v>
      </c>
      <c r="L29" s="12">
        <v>73</v>
      </c>
      <c r="M29" s="12">
        <v>40</v>
      </c>
      <c r="N29" s="12">
        <v>26</v>
      </c>
      <c r="O29" s="12">
        <v>24</v>
      </c>
      <c r="P29" s="13">
        <v>33</v>
      </c>
      <c r="Q29" s="14">
        <v>114</v>
      </c>
      <c r="R29" s="14">
        <v>90</v>
      </c>
      <c r="S29" s="15">
        <f t="shared" si="5"/>
        <v>501</v>
      </c>
    </row>
    <row r="30" spans="2:19" s="8" customFormat="1" ht="14.25">
      <c r="B30" s="9" t="s">
        <v>35</v>
      </c>
      <c r="C30" s="10">
        <v>9</v>
      </c>
      <c r="D30" s="10">
        <v>43</v>
      </c>
      <c r="E30" s="11">
        <v>75</v>
      </c>
      <c r="F30" s="12">
        <v>49</v>
      </c>
      <c r="G30" s="12">
        <v>88</v>
      </c>
      <c r="H30" s="12">
        <v>253</v>
      </c>
      <c r="I30" s="12">
        <v>232</v>
      </c>
      <c r="J30" s="12">
        <v>298</v>
      </c>
      <c r="K30" s="12">
        <v>352</v>
      </c>
      <c r="L30" s="12">
        <v>467</v>
      </c>
      <c r="M30" s="12">
        <v>414</v>
      </c>
      <c r="N30" s="12">
        <v>708</v>
      </c>
      <c r="O30" s="12">
        <v>1058</v>
      </c>
      <c r="P30" s="13">
        <v>1328</v>
      </c>
      <c r="Q30" s="14">
        <v>1664</v>
      </c>
      <c r="R30" s="14">
        <v>912</v>
      </c>
      <c r="S30" s="15">
        <f t="shared" si="5"/>
        <v>7950</v>
      </c>
    </row>
    <row r="31" spans="2:19" s="8" customFormat="1" ht="14.25">
      <c r="B31" s="9" t="s">
        <v>36</v>
      </c>
      <c r="C31" s="10">
        <v>0</v>
      </c>
      <c r="D31" s="10">
        <v>0</v>
      </c>
      <c r="E31" s="11">
        <v>4</v>
      </c>
      <c r="F31" s="12">
        <v>5</v>
      </c>
      <c r="G31" s="12">
        <v>7</v>
      </c>
      <c r="H31" s="12">
        <v>8</v>
      </c>
      <c r="I31" s="12">
        <v>12</v>
      </c>
      <c r="J31" s="12">
        <v>10</v>
      </c>
      <c r="K31" s="12">
        <v>17</v>
      </c>
      <c r="L31" s="12">
        <v>6</v>
      </c>
      <c r="M31" s="12">
        <v>7</v>
      </c>
      <c r="N31" s="12">
        <v>28</v>
      </c>
      <c r="O31" s="12">
        <v>18</v>
      </c>
      <c r="P31" s="13">
        <v>55</v>
      </c>
      <c r="Q31" s="14">
        <v>42</v>
      </c>
      <c r="R31" s="14">
        <v>35</v>
      </c>
      <c r="S31" s="15">
        <f t="shared" si="5"/>
        <v>254</v>
      </c>
    </row>
    <row r="32" spans="2:19" s="8" customFormat="1" ht="14.25">
      <c r="B32" s="9" t="s">
        <v>139</v>
      </c>
      <c r="C32" s="10">
        <v>0</v>
      </c>
      <c r="D32" s="10">
        <v>0</v>
      </c>
      <c r="E32" s="11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14</v>
      </c>
      <c r="O32" s="12">
        <v>57</v>
      </c>
      <c r="P32" s="13">
        <v>22</v>
      </c>
      <c r="Q32" s="14">
        <v>41</v>
      </c>
      <c r="R32" s="14">
        <v>27</v>
      </c>
      <c r="S32" s="15">
        <f t="shared" si="5"/>
        <v>161</v>
      </c>
    </row>
    <row r="33" spans="2:19" s="8" customFormat="1" ht="14.25">
      <c r="B33" s="9" t="s">
        <v>155</v>
      </c>
      <c r="C33" s="10">
        <v>0</v>
      </c>
      <c r="D33" s="10">
        <v>0</v>
      </c>
      <c r="E33" s="11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3">
        <v>0</v>
      </c>
      <c r="Q33" s="14">
        <v>4</v>
      </c>
      <c r="R33" s="14">
        <v>16</v>
      </c>
      <c r="S33" s="15">
        <f t="shared" si="5"/>
        <v>20</v>
      </c>
    </row>
    <row r="34" spans="2:19" s="8" customFormat="1" ht="15" thickBot="1">
      <c r="B34" s="9" t="s">
        <v>154</v>
      </c>
      <c r="C34" s="10">
        <v>0</v>
      </c>
      <c r="D34" s="10">
        <v>0</v>
      </c>
      <c r="E34" s="11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3">
        <v>0</v>
      </c>
      <c r="Q34" s="14">
        <v>11</v>
      </c>
      <c r="R34" s="14">
        <v>19</v>
      </c>
      <c r="S34" s="15">
        <f t="shared" si="5"/>
        <v>30</v>
      </c>
    </row>
    <row r="35" spans="2:19" s="8" customFormat="1" ht="15" thickBot="1">
      <c r="B35" s="17" t="s">
        <v>37</v>
      </c>
      <c r="C35" s="18">
        <f>C26+C27+C28+C29+C30+C31+C34</f>
        <v>68</v>
      </c>
      <c r="D35" s="18">
        <f>D26+D27+D28+D29+D30+D31+D34</f>
        <v>74</v>
      </c>
      <c r="E35" s="19">
        <f>E26+E27+E28+E29+E30+E31+E34</f>
        <v>262</v>
      </c>
      <c r="F35" s="18">
        <f>F26+F27+F28+F29+F30+F31+F34</f>
        <v>158</v>
      </c>
      <c r="G35" s="18">
        <f aca="true" t="shared" si="6" ref="G35:S35">G26+G27+G28+G29+G30+G31+G34</f>
        <v>361</v>
      </c>
      <c r="H35" s="18">
        <f t="shared" si="6"/>
        <v>660</v>
      </c>
      <c r="I35" s="18">
        <f t="shared" si="6"/>
        <v>621</v>
      </c>
      <c r="J35" s="18">
        <f t="shared" si="6"/>
        <v>729</v>
      </c>
      <c r="K35" s="18">
        <f t="shared" si="6"/>
        <v>846</v>
      </c>
      <c r="L35" s="18">
        <f t="shared" si="6"/>
        <v>894</v>
      </c>
      <c r="M35" s="18">
        <f t="shared" si="6"/>
        <v>797</v>
      </c>
      <c r="N35" s="18">
        <f t="shared" si="6"/>
        <v>1390</v>
      </c>
      <c r="O35" s="18">
        <f t="shared" si="6"/>
        <v>1992</v>
      </c>
      <c r="P35" s="19">
        <f t="shared" si="6"/>
        <v>2163</v>
      </c>
      <c r="Q35" s="20">
        <f>SUM(Q26:Q34)</f>
        <v>3083</v>
      </c>
      <c r="R35" s="20">
        <f>SUM(R26:R34)</f>
        <v>1876</v>
      </c>
      <c r="S35" s="22">
        <f t="shared" si="6"/>
        <v>15886</v>
      </c>
    </row>
    <row r="36" spans="2:19" s="8" customFormat="1" ht="15" thickBot="1">
      <c r="B36" s="9" t="s">
        <v>143</v>
      </c>
      <c r="C36" s="10">
        <v>0</v>
      </c>
      <c r="D36" s="10">
        <v>0</v>
      </c>
      <c r="E36" s="11">
        <v>0</v>
      </c>
      <c r="F36" s="12">
        <v>30</v>
      </c>
      <c r="G36" s="12">
        <v>65</v>
      </c>
      <c r="H36" s="12">
        <v>134</v>
      </c>
      <c r="I36" s="12">
        <v>97</v>
      </c>
      <c r="J36" s="12">
        <v>96</v>
      </c>
      <c r="K36" s="12">
        <v>101</v>
      </c>
      <c r="L36" s="12">
        <v>199</v>
      </c>
      <c r="M36" s="12">
        <v>211</v>
      </c>
      <c r="N36" s="12">
        <v>0</v>
      </c>
      <c r="O36" s="12">
        <v>0</v>
      </c>
      <c r="P36" s="13">
        <v>146</v>
      </c>
      <c r="Q36" s="14">
        <v>186</v>
      </c>
      <c r="R36" s="14">
        <v>107</v>
      </c>
      <c r="S36" s="15">
        <f>C36+D36+E36+F36+G36+H36+I36+J36+K36+L36+M36+N36+O36+P36+Q36+R36</f>
        <v>1372</v>
      </c>
    </row>
    <row r="37" spans="2:19" s="8" customFormat="1" ht="15" thickBot="1">
      <c r="B37" s="17" t="s">
        <v>87</v>
      </c>
      <c r="C37" s="18">
        <f>C36</f>
        <v>0</v>
      </c>
      <c r="D37" s="18">
        <f aca="true" t="shared" si="7" ref="D37:S37">D36</f>
        <v>0</v>
      </c>
      <c r="E37" s="19">
        <f t="shared" si="7"/>
        <v>0</v>
      </c>
      <c r="F37" s="18">
        <f t="shared" si="7"/>
        <v>30</v>
      </c>
      <c r="G37" s="18">
        <f t="shared" si="7"/>
        <v>65</v>
      </c>
      <c r="H37" s="18">
        <f t="shared" si="7"/>
        <v>134</v>
      </c>
      <c r="I37" s="18">
        <f t="shared" si="7"/>
        <v>97</v>
      </c>
      <c r="J37" s="18">
        <f t="shared" si="7"/>
        <v>96</v>
      </c>
      <c r="K37" s="18">
        <f t="shared" si="7"/>
        <v>101</v>
      </c>
      <c r="L37" s="18">
        <f t="shared" si="7"/>
        <v>199</v>
      </c>
      <c r="M37" s="18">
        <f t="shared" si="7"/>
        <v>211</v>
      </c>
      <c r="N37" s="18">
        <f t="shared" si="7"/>
        <v>0</v>
      </c>
      <c r="O37" s="18">
        <f t="shared" si="7"/>
        <v>0</v>
      </c>
      <c r="P37" s="19">
        <f t="shared" si="7"/>
        <v>146</v>
      </c>
      <c r="Q37" s="20">
        <v>186</v>
      </c>
      <c r="R37" s="20">
        <f>R36</f>
        <v>107</v>
      </c>
      <c r="S37" s="22">
        <f t="shared" si="7"/>
        <v>1372</v>
      </c>
    </row>
    <row r="38" spans="2:19" s="8" customFormat="1" ht="15" thickBot="1">
      <c r="B38" s="9" t="s">
        <v>144</v>
      </c>
      <c r="C38" s="10">
        <v>0</v>
      </c>
      <c r="D38" s="10">
        <v>0</v>
      </c>
      <c r="E38" s="11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3">
        <v>253</v>
      </c>
      <c r="Q38" s="14">
        <v>255</v>
      </c>
      <c r="R38" s="14">
        <v>224</v>
      </c>
      <c r="S38" s="15">
        <f>C38+D38+E38+F38+G38+H38+I38+J38+K38+L38+M38+N38+O38+P38+Q38+R38</f>
        <v>732</v>
      </c>
    </row>
    <row r="39" spans="2:19" s="8" customFormat="1" ht="15" thickBot="1">
      <c r="B39" s="17" t="s">
        <v>145</v>
      </c>
      <c r="C39" s="18">
        <f>C38</f>
        <v>0</v>
      </c>
      <c r="D39" s="18">
        <f aca="true" t="shared" si="8" ref="D39:S39">D38</f>
        <v>0</v>
      </c>
      <c r="E39" s="19">
        <f t="shared" si="8"/>
        <v>0</v>
      </c>
      <c r="F39" s="18">
        <f t="shared" si="8"/>
        <v>0</v>
      </c>
      <c r="G39" s="18">
        <f t="shared" si="8"/>
        <v>0</v>
      </c>
      <c r="H39" s="18">
        <f t="shared" si="8"/>
        <v>0</v>
      </c>
      <c r="I39" s="18">
        <f t="shared" si="8"/>
        <v>0</v>
      </c>
      <c r="J39" s="18">
        <f t="shared" si="8"/>
        <v>0</v>
      </c>
      <c r="K39" s="18">
        <f t="shared" si="8"/>
        <v>0</v>
      </c>
      <c r="L39" s="18">
        <f t="shared" si="8"/>
        <v>0</v>
      </c>
      <c r="M39" s="18">
        <f t="shared" si="8"/>
        <v>0</v>
      </c>
      <c r="N39" s="18">
        <f t="shared" si="8"/>
        <v>0</v>
      </c>
      <c r="O39" s="18">
        <f t="shared" si="8"/>
        <v>0</v>
      </c>
      <c r="P39" s="19">
        <f t="shared" si="8"/>
        <v>253</v>
      </c>
      <c r="Q39" s="20">
        <v>255</v>
      </c>
      <c r="R39" s="20">
        <f>R38</f>
        <v>224</v>
      </c>
      <c r="S39" s="22">
        <f t="shared" si="8"/>
        <v>732</v>
      </c>
    </row>
    <row r="40" spans="2:19" s="8" customFormat="1" ht="14.25">
      <c r="B40" s="9" t="s">
        <v>9</v>
      </c>
      <c r="C40" s="10">
        <v>0</v>
      </c>
      <c r="D40" s="10">
        <v>4</v>
      </c>
      <c r="E40" s="11">
        <v>17</v>
      </c>
      <c r="F40" s="12">
        <v>14</v>
      </c>
      <c r="G40" s="12">
        <v>39</v>
      </c>
      <c r="H40" s="12">
        <v>43</v>
      </c>
      <c r="I40" s="12">
        <v>38</v>
      </c>
      <c r="J40" s="12">
        <v>59</v>
      </c>
      <c r="K40" s="12">
        <v>43</v>
      </c>
      <c r="L40" s="12">
        <v>32</v>
      </c>
      <c r="M40" s="12">
        <v>11</v>
      </c>
      <c r="N40" s="12">
        <v>44</v>
      </c>
      <c r="O40" s="12">
        <v>57</v>
      </c>
      <c r="P40" s="13">
        <v>77</v>
      </c>
      <c r="Q40" s="14">
        <v>143</v>
      </c>
      <c r="R40" s="14">
        <v>132</v>
      </c>
      <c r="S40" s="15">
        <f aca="true" t="shared" si="9" ref="S40:S45">C40+D40+E40+F40+G40+H40+I40+J40+K40+L40+M40+N40+O40+P40+Q40+R40</f>
        <v>753</v>
      </c>
    </row>
    <row r="41" spans="2:19" s="8" customFormat="1" ht="14.25">
      <c r="B41" s="9" t="s">
        <v>38</v>
      </c>
      <c r="C41" s="10">
        <v>0</v>
      </c>
      <c r="D41" s="10">
        <v>3</v>
      </c>
      <c r="E41" s="11">
        <v>2</v>
      </c>
      <c r="F41" s="12">
        <v>1</v>
      </c>
      <c r="G41" s="12">
        <v>5</v>
      </c>
      <c r="H41" s="12">
        <v>11</v>
      </c>
      <c r="I41" s="12">
        <v>11</v>
      </c>
      <c r="J41" s="12">
        <v>15</v>
      </c>
      <c r="K41" s="12">
        <v>8</v>
      </c>
      <c r="L41" s="12">
        <v>24</v>
      </c>
      <c r="M41" s="12">
        <v>7</v>
      </c>
      <c r="N41" s="12">
        <v>14</v>
      </c>
      <c r="O41" s="12">
        <v>26</v>
      </c>
      <c r="P41" s="13">
        <v>15</v>
      </c>
      <c r="Q41" s="14">
        <v>30</v>
      </c>
      <c r="R41" s="14">
        <v>9</v>
      </c>
      <c r="S41" s="15">
        <f t="shared" si="9"/>
        <v>181</v>
      </c>
    </row>
    <row r="42" spans="2:19" s="8" customFormat="1" ht="14.25">
      <c r="B42" s="9" t="s">
        <v>39</v>
      </c>
      <c r="C42" s="10">
        <v>1</v>
      </c>
      <c r="D42" s="10">
        <v>0</v>
      </c>
      <c r="E42" s="11">
        <v>1</v>
      </c>
      <c r="F42" s="12">
        <v>8</v>
      </c>
      <c r="G42" s="12">
        <v>18</v>
      </c>
      <c r="H42" s="12">
        <v>10</v>
      </c>
      <c r="I42" s="12">
        <v>15</v>
      </c>
      <c r="J42" s="12">
        <v>26</v>
      </c>
      <c r="K42" s="12">
        <v>99</v>
      </c>
      <c r="L42" s="12">
        <v>217</v>
      </c>
      <c r="M42" s="12">
        <v>33</v>
      </c>
      <c r="N42" s="12">
        <v>36</v>
      </c>
      <c r="O42" s="12">
        <v>49</v>
      </c>
      <c r="P42" s="13">
        <v>41</v>
      </c>
      <c r="Q42" s="14">
        <v>54</v>
      </c>
      <c r="R42" s="14">
        <v>33</v>
      </c>
      <c r="S42" s="15">
        <f t="shared" si="9"/>
        <v>641</v>
      </c>
    </row>
    <row r="43" spans="2:19" s="8" customFormat="1" ht="14.25">
      <c r="B43" s="9" t="s">
        <v>159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5">
        <f t="shared" si="9"/>
        <v>0</v>
      </c>
    </row>
    <row r="44" spans="2:19" s="8" customFormat="1" ht="14.25">
      <c r="B44" s="9" t="s">
        <v>40</v>
      </c>
      <c r="C44" s="10">
        <v>3</v>
      </c>
      <c r="D44" s="10">
        <v>11</v>
      </c>
      <c r="E44" s="11">
        <v>2</v>
      </c>
      <c r="F44" s="12">
        <v>46</v>
      </c>
      <c r="G44" s="12">
        <v>19</v>
      </c>
      <c r="H44" s="12">
        <v>29</v>
      </c>
      <c r="I44" s="12">
        <v>29</v>
      </c>
      <c r="J44" s="12">
        <v>30</v>
      </c>
      <c r="K44" s="12">
        <v>33</v>
      </c>
      <c r="L44" s="12">
        <v>18</v>
      </c>
      <c r="M44" s="12">
        <v>29</v>
      </c>
      <c r="N44" s="12">
        <v>74</v>
      </c>
      <c r="O44" s="12">
        <v>38</v>
      </c>
      <c r="P44" s="13">
        <v>88</v>
      </c>
      <c r="Q44" s="14">
        <v>154</v>
      </c>
      <c r="R44" s="14">
        <v>78</v>
      </c>
      <c r="S44" s="15">
        <f t="shared" si="9"/>
        <v>681</v>
      </c>
    </row>
    <row r="45" spans="2:19" s="8" customFormat="1" ht="15" thickBot="1">
      <c r="B45" s="9" t="s">
        <v>41</v>
      </c>
      <c r="C45" s="10">
        <v>0</v>
      </c>
      <c r="D45" s="10">
        <v>0</v>
      </c>
      <c r="E45" s="11">
        <v>3</v>
      </c>
      <c r="F45" s="12">
        <v>13</v>
      </c>
      <c r="G45" s="12">
        <v>20</v>
      </c>
      <c r="H45" s="12">
        <v>15</v>
      </c>
      <c r="I45" s="12">
        <v>32</v>
      </c>
      <c r="J45" s="12">
        <v>44</v>
      </c>
      <c r="K45" s="12">
        <v>46</v>
      </c>
      <c r="L45" s="12">
        <v>33</v>
      </c>
      <c r="M45" s="12">
        <v>39</v>
      </c>
      <c r="N45" s="12">
        <v>41</v>
      </c>
      <c r="O45" s="12">
        <v>37</v>
      </c>
      <c r="P45" s="13">
        <v>57</v>
      </c>
      <c r="Q45" s="14">
        <v>101</v>
      </c>
      <c r="R45" s="14">
        <v>44</v>
      </c>
      <c r="S45" s="15">
        <f t="shared" si="9"/>
        <v>525</v>
      </c>
    </row>
    <row r="46" spans="2:19" s="8" customFormat="1" ht="15" thickBot="1">
      <c r="B46" s="17" t="s">
        <v>42</v>
      </c>
      <c r="C46" s="18">
        <f>C40+C41+C42+C44+C45</f>
        <v>4</v>
      </c>
      <c r="D46" s="18">
        <f aca="true" t="shared" si="10" ref="D46:S46">D40+D41+D42+D44+D45</f>
        <v>18</v>
      </c>
      <c r="E46" s="19">
        <f t="shared" si="10"/>
        <v>25</v>
      </c>
      <c r="F46" s="18">
        <f t="shared" si="10"/>
        <v>82</v>
      </c>
      <c r="G46" s="18">
        <f t="shared" si="10"/>
        <v>101</v>
      </c>
      <c r="H46" s="18">
        <f t="shared" si="10"/>
        <v>108</v>
      </c>
      <c r="I46" s="18">
        <f t="shared" si="10"/>
        <v>125</v>
      </c>
      <c r="J46" s="18">
        <f t="shared" si="10"/>
        <v>174</v>
      </c>
      <c r="K46" s="18">
        <f t="shared" si="10"/>
        <v>229</v>
      </c>
      <c r="L46" s="18">
        <f t="shared" si="10"/>
        <v>324</v>
      </c>
      <c r="M46" s="18">
        <f t="shared" si="10"/>
        <v>119</v>
      </c>
      <c r="N46" s="18">
        <f t="shared" si="10"/>
        <v>209</v>
      </c>
      <c r="O46" s="18">
        <f t="shared" si="10"/>
        <v>207</v>
      </c>
      <c r="P46" s="19">
        <f t="shared" si="10"/>
        <v>278</v>
      </c>
      <c r="Q46" s="20">
        <f>SUM(Q40:Q45)</f>
        <v>482</v>
      </c>
      <c r="R46" s="20">
        <f>SUM(R40:R45)</f>
        <v>296</v>
      </c>
      <c r="S46" s="22">
        <f t="shared" si="10"/>
        <v>2781</v>
      </c>
    </row>
    <row r="47" spans="2:19" s="8" customFormat="1" ht="14.25">
      <c r="B47" s="9" t="s">
        <v>10</v>
      </c>
      <c r="C47" s="10">
        <v>10</v>
      </c>
      <c r="D47" s="10">
        <v>17</v>
      </c>
      <c r="E47" s="11">
        <v>112</v>
      </c>
      <c r="F47" s="12">
        <v>101</v>
      </c>
      <c r="G47" s="12">
        <v>144</v>
      </c>
      <c r="H47" s="12">
        <v>244</v>
      </c>
      <c r="I47" s="12">
        <v>283</v>
      </c>
      <c r="J47" s="12">
        <v>215</v>
      </c>
      <c r="K47" s="12">
        <v>294</v>
      </c>
      <c r="L47" s="12">
        <v>314</v>
      </c>
      <c r="M47" s="12">
        <v>326</v>
      </c>
      <c r="N47" s="12">
        <v>692</v>
      </c>
      <c r="O47" s="12">
        <v>1227</v>
      </c>
      <c r="P47" s="13">
        <v>944</v>
      </c>
      <c r="Q47" s="14">
        <v>1369</v>
      </c>
      <c r="R47" s="14">
        <v>646</v>
      </c>
      <c r="S47" s="15">
        <f>C47+D47+E47+F47+G47+H47+I47+J47+K47+L47+M47+N47+O47+P47+Q47+R47</f>
        <v>6938</v>
      </c>
    </row>
    <row r="48" spans="2:19" s="8" customFormat="1" ht="14.25">
      <c r="B48" s="9" t="s">
        <v>43</v>
      </c>
      <c r="C48" s="10">
        <v>2</v>
      </c>
      <c r="D48" s="10">
        <v>1</v>
      </c>
      <c r="E48" s="11">
        <v>11</v>
      </c>
      <c r="F48" s="12">
        <v>7</v>
      </c>
      <c r="G48" s="12">
        <v>16</v>
      </c>
      <c r="H48" s="12">
        <v>22</v>
      </c>
      <c r="I48" s="12">
        <v>18</v>
      </c>
      <c r="J48" s="12">
        <v>26</v>
      </c>
      <c r="K48" s="12">
        <v>23</v>
      </c>
      <c r="L48" s="12">
        <v>34</v>
      </c>
      <c r="M48" s="12">
        <v>31</v>
      </c>
      <c r="N48" s="12">
        <v>0</v>
      </c>
      <c r="O48" s="12">
        <v>0</v>
      </c>
      <c r="P48" s="13">
        <v>0</v>
      </c>
      <c r="Q48" s="14">
        <v>0</v>
      </c>
      <c r="R48" s="14">
        <v>0</v>
      </c>
      <c r="S48" s="15">
        <f aca="true" t="shared" si="11" ref="S48:S92">C48+D48+E48+F48+G48+H48+I48+J48+K48+L48+M48+N48+O48+P48+Q48+R48</f>
        <v>191</v>
      </c>
    </row>
    <row r="49" spans="2:19" s="8" customFormat="1" ht="14.25">
      <c r="B49" s="9" t="s">
        <v>44</v>
      </c>
      <c r="C49" s="10">
        <v>0</v>
      </c>
      <c r="D49" s="10">
        <v>0</v>
      </c>
      <c r="E49" s="11">
        <v>0</v>
      </c>
      <c r="F49" s="12">
        <v>1</v>
      </c>
      <c r="G49" s="12">
        <v>6</v>
      </c>
      <c r="H49" s="12">
        <v>1</v>
      </c>
      <c r="I49" s="12">
        <v>3</v>
      </c>
      <c r="J49" s="12">
        <v>3</v>
      </c>
      <c r="K49" s="12">
        <v>6</v>
      </c>
      <c r="L49" s="12">
        <v>3</v>
      </c>
      <c r="M49" s="12">
        <v>0</v>
      </c>
      <c r="N49" s="12">
        <v>7</v>
      </c>
      <c r="O49" s="12">
        <v>10</v>
      </c>
      <c r="P49" s="13">
        <v>4</v>
      </c>
      <c r="Q49" s="14">
        <v>7</v>
      </c>
      <c r="R49" s="14">
        <v>12</v>
      </c>
      <c r="S49" s="15">
        <f t="shared" si="11"/>
        <v>63</v>
      </c>
    </row>
    <row r="50" spans="2:19" s="8" customFormat="1" ht="12.75" customHeight="1">
      <c r="B50" s="9" t="s">
        <v>45</v>
      </c>
      <c r="C50" s="10">
        <v>0</v>
      </c>
      <c r="D50" s="10">
        <v>0</v>
      </c>
      <c r="E50" s="11">
        <v>1</v>
      </c>
      <c r="F50" s="12">
        <v>1</v>
      </c>
      <c r="G50" s="12">
        <v>5</v>
      </c>
      <c r="H50" s="12">
        <v>1</v>
      </c>
      <c r="I50" s="12">
        <v>3</v>
      </c>
      <c r="J50" s="12">
        <v>3</v>
      </c>
      <c r="K50" s="12">
        <v>7</v>
      </c>
      <c r="L50" s="12">
        <v>7</v>
      </c>
      <c r="M50" s="12">
        <v>1</v>
      </c>
      <c r="N50" s="12">
        <v>7</v>
      </c>
      <c r="O50" s="12">
        <v>6</v>
      </c>
      <c r="P50" s="13">
        <v>13</v>
      </c>
      <c r="Q50" s="14">
        <v>7</v>
      </c>
      <c r="R50" s="14">
        <v>6</v>
      </c>
      <c r="S50" s="15">
        <f t="shared" si="11"/>
        <v>68</v>
      </c>
    </row>
    <row r="51" spans="2:19" s="8" customFormat="1" ht="11.25" customHeight="1">
      <c r="B51" s="9" t="s">
        <v>46</v>
      </c>
      <c r="C51" s="10">
        <v>0</v>
      </c>
      <c r="D51" s="10">
        <v>0</v>
      </c>
      <c r="E51" s="11">
        <v>0</v>
      </c>
      <c r="F51" s="12">
        <v>1</v>
      </c>
      <c r="G51" s="12">
        <v>4</v>
      </c>
      <c r="H51" s="12">
        <v>3</v>
      </c>
      <c r="I51" s="12">
        <v>3</v>
      </c>
      <c r="J51" s="12">
        <v>4</v>
      </c>
      <c r="K51" s="12">
        <v>6</v>
      </c>
      <c r="L51" s="12">
        <v>3</v>
      </c>
      <c r="M51" s="12">
        <v>0</v>
      </c>
      <c r="N51" s="12">
        <v>8</v>
      </c>
      <c r="O51" s="12">
        <v>7</v>
      </c>
      <c r="P51" s="13">
        <v>4</v>
      </c>
      <c r="Q51" s="14">
        <v>8</v>
      </c>
      <c r="R51" s="14">
        <v>3</v>
      </c>
      <c r="S51" s="15">
        <f t="shared" si="11"/>
        <v>54</v>
      </c>
    </row>
    <row r="52" spans="2:19" s="8" customFormat="1" ht="14.25">
      <c r="B52" s="9" t="s">
        <v>47</v>
      </c>
      <c r="C52" s="10">
        <v>0</v>
      </c>
      <c r="D52" s="10">
        <v>0</v>
      </c>
      <c r="E52" s="11">
        <v>0</v>
      </c>
      <c r="F52" s="12">
        <v>1</v>
      </c>
      <c r="G52" s="12">
        <v>5</v>
      </c>
      <c r="H52" s="12">
        <v>1</v>
      </c>
      <c r="I52" s="12">
        <v>5</v>
      </c>
      <c r="J52" s="12">
        <v>5</v>
      </c>
      <c r="K52" s="12">
        <v>6</v>
      </c>
      <c r="L52" s="12">
        <v>4</v>
      </c>
      <c r="M52" s="12">
        <v>0</v>
      </c>
      <c r="N52" s="12">
        <v>6</v>
      </c>
      <c r="O52" s="12">
        <v>5</v>
      </c>
      <c r="P52" s="13">
        <v>8</v>
      </c>
      <c r="Q52" s="14">
        <v>12</v>
      </c>
      <c r="R52" s="14">
        <v>6</v>
      </c>
      <c r="S52" s="15">
        <f t="shared" si="11"/>
        <v>64</v>
      </c>
    </row>
    <row r="53" spans="2:19" s="8" customFormat="1" ht="14.25">
      <c r="B53" s="9" t="s">
        <v>48</v>
      </c>
      <c r="C53" s="10">
        <v>0</v>
      </c>
      <c r="D53" s="10">
        <v>0</v>
      </c>
      <c r="E53" s="11">
        <v>1</v>
      </c>
      <c r="F53" s="12">
        <v>1</v>
      </c>
      <c r="G53" s="12">
        <v>5</v>
      </c>
      <c r="H53" s="12">
        <v>3</v>
      </c>
      <c r="I53" s="12">
        <v>6</v>
      </c>
      <c r="J53" s="12">
        <v>7</v>
      </c>
      <c r="K53" s="12">
        <v>8</v>
      </c>
      <c r="L53" s="12">
        <v>4</v>
      </c>
      <c r="M53" s="12">
        <v>2</v>
      </c>
      <c r="N53" s="12">
        <v>6</v>
      </c>
      <c r="O53" s="12">
        <v>8</v>
      </c>
      <c r="P53" s="13">
        <v>9</v>
      </c>
      <c r="Q53" s="14">
        <v>10</v>
      </c>
      <c r="R53" s="14">
        <v>4</v>
      </c>
      <c r="S53" s="15">
        <f t="shared" si="11"/>
        <v>74</v>
      </c>
    </row>
    <row r="54" spans="2:19" s="8" customFormat="1" ht="14.25">
      <c r="B54" s="9" t="s">
        <v>49</v>
      </c>
      <c r="C54" s="10">
        <v>0</v>
      </c>
      <c r="D54" s="10">
        <v>0</v>
      </c>
      <c r="E54" s="11">
        <v>2</v>
      </c>
      <c r="F54" s="12">
        <v>1</v>
      </c>
      <c r="G54" s="12">
        <v>8</v>
      </c>
      <c r="H54" s="12">
        <v>4</v>
      </c>
      <c r="I54" s="12">
        <v>6</v>
      </c>
      <c r="J54" s="12">
        <v>4</v>
      </c>
      <c r="K54" s="12">
        <v>11</v>
      </c>
      <c r="L54" s="12">
        <v>6</v>
      </c>
      <c r="M54" s="12">
        <v>1</v>
      </c>
      <c r="N54" s="12">
        <v>9</v>
      </c>
      <c r="O54" s="12">
        <v>9</v>
      </c>
      <c r="P54" s="13">
        <v>19</v>
      </c>
      <c r="Q54" s="14">
        <v>13</v>
      </c>
      <c r="R54" s="14">
        <v>17</v>
      </c>
      <c r="S54" s="15">
        <f t="shared" si="11"/>
        <v>110</v>
      </c>
    </row>
    <row r="55" spans="2:19" s="8" customFormat="1" ht="14.25">
      <c r="B55" s="9" t="s">
        <v>50</v>
      </c>
      <c r="C55" s="10">
        <v>1</v>
      </c>
      <c r="D55" s="10">
        <v>7</v>
      </c>
      <c r="E55" s="11">
        <v>95</v>
      </c>
      <c r="F55" s="12">
        <v>1048</v>
      </c>
      <c r="G55" s="12">
        <v>969</v>
      </c>
      <c r="H55" s="12">
        <v>299</v>
      </c>
      <c r="I55" s="12">
        <v>351</v>
      </c>
      <c r="J55" s="12">
        <v>489</v>
      </c>
      <c r="K55" s="12">
        <v>119</v>
      </c>
      <c r="L55" s="12">
        <v>128</v>
      </c>
      <c r="M55" s="12">
        <v>55</v>
      </c>
      <c r="N55" s="12">
        <v>0</v>
      </c>
      <c r="O55" s="12">
        <v>0</v>
      </c>
      <c r="P55" s="13">
        <v>0</v>
      </c>
      <c r="Q55" s="14">
        <v>0</v>
      </c>
      <c r="R55" s="14">
        <v>0</v>
      </c>
      <c r="S55" s="15">
        <f t="shared" si="11"/>
        <v>3561</v>
      </c>
    </row>
    <row r="56" spans="2:19" s="8" customFormat="1" ht="14.25">
      <c r="B56" s="9" t="s">
        <v>51</v>
      </c>
      <c r="C56" s="10">
        <v>0</v>
      </c>
      <c r="D56" s="10">
        <v>0</v>
      </c>
      <c r="E56" s="11">
        <v>1</v>
      </c>
      <c r="F56" s="12">
        <v>1</v>
      </c>
      <c r="G56" s="12">
        <v>3</v>
      </c>
      <c r="H56" s="12">
        <v>1</v>
      </c>
      <c r="I56" s="12">
        <v>3</v>
      </c>
      <c r="J56" s="12">
        <v>4</v>
      </c>
      <c r="K56" s="12">
        <v>7</v>
      </c>
      <c r="L56" s="12">
        <v>3</v>
      </c>
      <c r="M56" s="12">
        <v>4</v>
      </c>
      <c r="N56" s="12">
        <v>8</v>
      </c>
      <c r="O56" s="12">
        <v>5</v>
      </c>
      <c r="P56" s="13">
        <v>16</v>
      </c>
      <c r="Q56" s="14">
        <v>10</v>
      </c>
      <c r="R56" s="14">
        <v>9</v>
      </c>
      <c r="S56" s="15">
        <f t="shared" si="11"/>
        <v>75</v>
      </c>
    </row>
    <row r="57" spans="2:19" s="8" customFormat="1" ht="14.25" customHeight="1">
      <c r="B57" s="23" t="s">
        <v>52</v>
      </c>
      <c r="C57" s="10">
        <v>0</v>
      </c>
      <c r="D57" s="10">
        <v>0</v>
      </c>
      <c r="E57" s="11">
        <v>2</v>
      </c>
      <c r="F57" s="12">
        <v>2</v>
      </c>
      <c r="G57" s="12">
        <v>4</v>
      </c>
      <c r="H57" s="12">
        <v>3</v>
      </c>
      <c r="I57" s="12">
        <v>8</v>
      </c>
      <c r="J57" s="12">
        <v>13</v>
      </c>
      <c r="K57" s="12">
        <v>11</v>
      </c>
      <c r="L57" s="12">
        <v>7</v>
      </c>
      <c r="M57" s="12">
        <v>12</v>
      </c>
      <c r="N57" s="12">
        <v>23</v>
      </c>
      <c r="O57" s="12">
        <v>32</v>
      </c>
      <c r="P57" s="13">
        <v>21</v>
      </c>
      <c r="Q57" s="14">
        <v>24</v>
      </c>
      <c r="R57" s="14">
        <v>20</v>
      </c>
      <c r="S57" s="15">
        <f t="shared" si="11"/>
        <v>182</v>
      </c>
    </row>
    <row r="58" spans="2:19" s="8" customFormat="1" ht="14.25">
      <c r="B58" s="9" t="s">
        <v>53</v>
      </c>
      <c r="C58" s="10">
        <v>0</v>
      </c>
      <c r="D58" s="10">
        <v>0</v>
      </c>
      <c r="E58" s="11">
        <v>1</v>
      </c>
      <c r="F58" s="12">
        <v>1</v>
      </c>
      <c r="G58" s="12">
        <v>9</v>
      </c>
      <c r="H58" s="12">
        <v>3</v>
      </c>
      <c r="I58" s="12">
        <v>6</v>
      </c>
      <c r="J58" s="12">
        <v>3</v>
      </c>
      <c r="K58" s="12">
        <v>71</v>
      </c>
      <c r="L58" s="12">
        <v>122</v>
      </c>
      <c r="M58" s="12">
        <v>4</v>
      </c>
      <c r="N58" s="12">
        <v>74</v>
      </c>
      <c r="O58" s="12">
        <v>89</v>
      </c>
      <c r="P58" s="13">
        <v>1755</v>
      </c>
      <c r="Q58" s="14">
        <v>1665</v>
      </c>
      <c r="R58" s="14">
        <v>312</v>
      </c>
      <c r="S58" s="15">
        <f t="shared" si="11"/>
        <v>4115</v>
      </c>
    </row>
    <row r="59" spans="2:19" s="8" customFormat="1" ht="14.25">
      <c r="B59" s="9" t="s">
        <v>54</v>
      </c>
      <c r="C59" s="10">
        <v>0</v>
      </c>
      <c r="D59" s="10">
        <v>0</v>
      </c>
      <c r="E59" s="11">
        <v>0</v>
      </c>
      <c r="F59" s="12">
        <v>2</v>
      </c>
      <c r="G59" s="12">
        <v>6</v>
      </c>
      <c r="H59" s="12">
        <v>20</v>
      </c>
      <c r="I59" s="12">
        <v>13</v>
      </c>
      <c r="J59" s="12">
        <v>11</v>
      </c>
      <c r="K59" s="12">
        <v>11</v>
      </c>
      <c r="L59" s="12">
        <v>10</v>
      </c>
      <c r="M59" s="12">
        <v>8</v>
      </c>
      <c r="N59" s="12">
        <v>7</v>
      </c>
      <c r="O59" s="12">
        <v>13</v>
      </c>
      <c r="P59" s="13">
        <v>18</v>
      </c>
      <c r="Q59" s="14">
        <v>28</v>
      </c>
      <c r="R59" s="14">
        <v>12</v>
      </c>
      <c r="S59" s="15">
        <f t="shared" si="11"/>
        <v>159</v>
      </c>
    </row>
    <row r="60" spans="2:19" s="8" customFormat="1" ht="14.25">
      <c r="B60" s="9" t="s">
        <v>55</v>
      </c>
      <c r="C60" s="10">
        <v>5</v>
      </c>
      <c r="D60" s="10">
        <v>3</v>
      </c>
      <c r="E60" s="11">
        <v>32</v>
      </c>
      <c r="F60" s="12">
        <v>45</v>
      </c>
      <c r="G60" s="12">
        <v>86</v>
      </c>
      <c r="H60" s="12">
        <v>89</v>
      </c>
      <c r="I60" s="12">
        <v>113</v>
      </c>
      <c r="J60" s="12">
        <v>107</v>
      </c>
      <c r="K60" s="12">
        <v>132</v>
      </c>
      <c r="L60" s="12">
        <v>101</v>
      </c>
      <c r="M60" s="12">
        <v>90</v>
      </c>
      <c r="N60" s="12">
        <v>225</v>
      </c>
      <c r="O60" s="12">
        <v>182</v>
      </c>
      <c r="P60" s="13">
        <v>242</v>
      </c>
      <c r="Q60" s="14">
        <v>201</v>
      </c>
      <c r="R60" s="14">
        <v>550</v>
      </c>
      <c r="S60" s="15">
        <f t="shared" si="11"/>
        <v>2203</v>
      </c>
    </row>
    <row r="61" spans="2:19" s="8" customFormat="1" ht="14.25">
      <c r="B61" s="9" t="s">
        <v>56</v>
      </c>
      <c r="C61" s="10">
        <v>0</v>
      </c>
      <c r="D61" s="10">
        <v>0</v>
      </c>
      <c r="E61" s="11">
        <v>0</v>
      </c>
      <c r="F61" s="12">
        <v>0</v>
      </c>
      <c r="G61" s="12">
        <v>3</v>
      </c>
      <c r="H61" s="12">
        <v>2</v>
      </c>
      <c r="I61" s="12">
        <v>3</v>
      </c>
      <c r="J61" s="12">
        <v>4</v>
      </c>
      <c r="K61" s="12">
        <v>11</v>
      </c>
      <c r="L61" s="12">
        <v>3</v>
      </c>
      <c r="M61" s="12">
        <v>1</v>
      </c>
      <c r="N61" s="12">
        <v>7</v>
      </c>
      <c r="O61" s="12">
        <v>8</v>
      </c>
      <c r="P61" s="13">
        <v>10</v>
      </c>
      <c r="Q61" s="14">
        <v>13</v>
      </c>
      <c r="R61" s="14">
        <v>6</v>
      </c>
      <c r="S61" s="15">
        <f t="shared" si="11"/>
        <v>71</v>
      </c>
    </row>
    <row r="62" spans="2:19" s="8" customFormat="1" ht="14.25">
      <c r="B62" s="9" t="s">
        <v>57</v>
      </c>
      <c r="C62" s="10">
        <v>0</v>
      </c>
      <c r="D62" s="10">
        <v>0</v>
      </c>
      <c r="E62" s="11">
        <v>1</v>
      </c>
      <c r="F62" s="12">
        <v>1</v>
      </c>
      <c r="G62" s="12">
        <v>8</v>
      </c>
      <c r="H62" s="12">
        <v>5</v>
      </c>
      <c r="I62" s="12">
        <v>8</v>
      </c>
      <c r="J62" s="12">
        <v>6</v>
      </c>
      <c r="K62" s="12">
        <v>6</v>
      </c>
      <c r="L62" s="12">
        <v>4</v>
      </c>
      <c r="M62" s="12">
        <v>3</v>
      </c>
      <c r="N62" s="12">
        <v>13</v>
      </c>
      <c r="O62" s="12">
        <v>11</v>
      </c>
      <c r="P62" s="13">
        <v>6</v>
      </c>
      <c r="Q62" s="14">
        <v>9</v>
      </c>
      <c r="R62" s="14">
        <v>15</v>
      </c>
      <c r="S62" s="15">
        <f t="shared" si="11"/>
        <v>96</v>
      </c>
    </row>
    <row r="63" spans="1:19" s="8" customFormat="1" ht="14.25">
      <c r="A63" s="24"/>
      <c r="B63" s="9" t="s">
        <v>58</v>
      </c>
      <c r="C63" s="10">
        <v>0</v>
      </c>
      <c r="D63" s="10">
        <v>0</v>
      </c>
      <c r="E63" s="11">
        <v>1</v>
      </c>
      <c r="F63" s="12">
        <v>3</v>
      </c>
      <c r="G63" s="12">
        <v>8</v>
      </c>
      <c r="H63" s="12">
        <v>9</v>
      </c>
      <c r="I63" s="12">
        <v>15</v>
      </c>
      <c r="J63" s="12">
        <v>7</v>
      </c>
      <c r="K63" s="12">
        <v>16</v>
      </c>
      <c r="L63" s="12">
        <v>6</v>
      </c>
      <c r="M63" s="12">
        <v>10</v>
      </c>
      <c r="N63" s="12">
        <v>15</v>
      </c>
      <c r="O63" s="12">
        <v>137</v>
      </c>
      <c r="P63" s="13">
        <v>14</v>
      </c>
      <c r="Q63" s="14">
        <v>59</v>
      </c>
      <c r="R63" s="14">
        <v>33</v>
      </c>
      <c r="S63" s="15">
        <f t="shared" si="11"/>
        <v>333</v>
      </c>
    </row>
    <row r="64" spans="2:19" s="8" customFormat="1" ht="14.25">
      <c r="B64" s="9" t="s">
        <v>59</v>
      </c>
      <c r="C64" s="10">
        <v>0</v>
      </c>
      <c r="D64" s="10">
        <v>3</v>
      </c>
      <c r="E64" s="11">
        <v>3</v>
      </c>
      <c r="F64" s="12">
        <v>1</v>
      </c>
      <c r="G64" s="12">
        <v>4</v>
      </c>
      <c r="H64" s="12">
        <v>9</v>
      </c>
      <c r="I64" s="12">
        <v>11</v>
      </c>
      <c r="J64" s="12">
        <v>8</v>
      </c>
      <c r="K64" s="12">
        <v>11</v>
      </c>
      <c r="L64" s="12">
        <v>11</v>
      </c>
      <c r="M64" s="12">
        <v>6</v>
      </c>
      <c r="N64" s="12">
        <v>13</v>
      </c>
      <c r="O64" s="12">
        <v>55</v>
      </c>
      <c r="P64" s="13">
        <v>77</v>
      </c>
      <c r="Q64" s="14">
        <v>126</v>
      </c>
      <c r="R64" s="14">
        <v>34</v>
      </c>
      <c r="S64" s="15">
        <f t="shared" si="11"/>
        <v>372</v>
      </c>
    </row>
    <row r="65" spans="2:19" s="8" customFormat="1" ht="14.25">
      <c r="B65" s="9" t="s">
        <v>60</v>
      </c>
      <c r="C65" s="10">
        <v>0</v>
      </c>
      <c r="D65" s="10">
        <v>0</v>
      </c>
      <c r="E65" s="11">
        <v>0</v>
      </c>
      <c r="F65" s="12">
        <v>1</v>
      </c>
      <c r="G65" s="12">
        <v>4</v>
      </c>
      <c r="H65" s="12">
        <v>2</v>
      </c>
      <c r="I65" s="12">
        <v>12</v>
      </c>
      <c r="J65" s="12">
        <v>5</v>
      </c>
      <c r="K65" s="12">
        <v>8</v>
      </c>
      <c r="L65" s="12">
        <v>5</v>
      </c>
      <c r="M65" s="12">
        <v>7</v>
      </c>
      <c r="N65" s="12">
        <v>13</v>
      </c>
      <c r="O65" s="12">
        <v>23</v>
      </c>
      <c r="P65" s="13">
        <v>12</v>
      </c>
      <c r="Q65" s="14">
        <v>11</v>
      </c>
      <c r="R65" s="14">
        <v>7</v>
      </c>
      <c r="S65" s="15">
        <f t="shared" si="11"/>
        <v>110</v>
      </c>
    </row>
    <row r="66" spans="2:19" s="8" customFormat="1" ht="14.25">
      <c r="B66" s="9" t="s">
        <v>61</v>
      </c>
      <c r="C66" s="10">
        <v>1</v>
      </c>
      <c r="D66" s="10">
        <v>0</v>
      </c>
      <c r="E66" s="11">
        <v>1</v>
      </c>
      <c r="F66" s="12">
        <v>1</v>
      </c>
      <c r="G66" s="12">
        <v>8</v>
      </c>
      <c r="H66" s="12">
        <v>5</v>
      </c>
      <c r="I66" s="12">
        <v>8</v>
      </c>
      <c r="J66" s="12">
        <v>4</v>
      </c>
      <c r="K66" s="12">
        <v>16</v>
      </c>
      <c r="L66" s="12">
        <v>6</v>
      </c>
      <c r="M66" s="12">
        <v>6</v>
      </c>
      <c r="N66" s="12">
        <v>20</v>
      </c>
      <c r="O66" s="12">
        <v>21</v>
      </c>
      <c r="P66" s="13">
        <v>12</v>
      </c>
      <c r="Q66" s="14">
        <v>23</v>
      </c>
      <c r="R66" s="14">
        <v>8</v>
      </c>
      <c r="S66" s="15">
        <f t="shared" si="11"/>
        <v>140</v>
      </c>
    </row>
    <row r="67" spans="2:19" s="8" customFormat="1" ht="14.25">
      <c r="B67" s="9" t="s">
        <v>62</v>
      </c>
      <c r="C67" s="10">
        <v>0</v>
      </c>
      <c r="D67" s="10">
        <v>0</v>
      </c>
      <c r="E67" s="11">
        <v>0</v>
      </c>
      <c r="F67" s="12">
        <v>1</v>
      </c>
      <c r="G67" s="12">
        <v>5</v>
      </c>
      <c r="H67" s="12">
        <v>3</v>
      </c>
      <c r="I67" s="12">
        <v>5</v>
      </c>
      <c r="J67" s="12">
        <v>5</v>
      </c>
      <c r="K67" s="12">
        <v>8</v>
      </c>
      <c r="L67" s="12">
        <v>4</v>
      </c>
      <c r="M67" s="12">
        <v>0</v>
      </c>
      <c r="N67" s="12">
        <v>7</v>
      </c>
      <c r="O67" s="12">
        <v>10</v>
      </c>
      <c r="P67" s="13">
        <v>10</v>
      </c>
      <c r="Q67" s="14">
        <v>11</v>
      </c>
      <c r="R67" s="14">
        <v>14</v>
      </c>
      <c r="S67" s="15">
        <f t="shared" si="11"/>
        <v>83</v>
      </c>
    </row>
    <row r="68" spans="2:19" s="8" customFormat="1" ht="14.25">
      <c r="B68" s="9" t="s">
        <v>63</v>
      </c>
      <c r="C68" s="10">
        <v>0</v>
      </c>
      <c r="D68" s="10">
        <v>0</v>
      </c>
      <c r="E68" s="11">
        <v>0</v>
      </c>
      <c r="F68" s="12">
        <v>1</v>
      </c>
      <c r="G68" s="12">
        <v>4</v>
      </c>
      <c r="H68" s="12">
        <v>4</v>
      </c>
      <c r="I68" s="12">
        <v>4</v>
      </c>
      <c r="J68" s="12">
        <v>4</v>
      </c>
      <c r="K68" s="12">
        <v>17</v>
      </c>
      <c r="L68" s="12">
        <v>4</v>
      </c>
      <c r="M68" s="12">
        <v>10</v>
      </c>
      <c r="N68" s="12">
        <v>22</v>
      </c>
      <c r="O68" s="12">
        <v>46</v>
      </c>
      <c r="P68" s="13">
        <v>32</v>
      </c>
      <c r="Q68" s="14">
        <v>16</v>
      </c>
      <c r="R68" s="14">
        <v>22</v>
      </c>
      <c r="S68" s="15">
        <f t="shared" si="11"/>
        <v>186</v>
      </c>
    </row>
    <row r="69" spans="2:19" s="8" customFormat="1" ht="14.25">
      <c r="B69" s="9" t="s">
        <v>64</v>
      </c>
      <c r="C69" s="10">
        <v>0</v>
      </c>
      <c r="D69" s="10">
        <v>0</v>
      </c>
      <c r="E69" s="11">
        <v>0</v>
      </c>
      <c r="F69" s="12">
        <v>1</v>
      </c>
      <c r="G69" s="12">
        <v>7</v>
      </c>
      <c r="H69" s="12">
        <v>4</v>
      </c>
      <c r="I69" s="12">
        <v>6</v>
      </c>
      <c r="J69" s="12">
        <v>4</v>
      </c>
      <c r="K69" s="12">
        <v>6</v>
      </c>
      <c r="L69" s="12">
        <v>4</v>
      </c>
      <c r="M69" s="12">
        <v>2</v>
      </c>
      <c r="N69" s="12">
        <v>11</v>
      </c>
      <c r="O69" s="12">
        <v>6</v>
      </c>
      <c r="P69" s="13">
        <v>4</v>
      </c>
      <c r="Q69" s="14">
        <v>6</v>
      </c>
      <c r="R69" s="14">
        <v>6</v>
      </c>
      <c r="S69" s="15">
        <f t="shared" si="11"/>
        <v>67</v>
      </c>
    </row>
    <row r="70" spans="2:19" s="8" customFormat="1" ht="14.25">
      <c r="B70" s="9" t="s">
        <v>140</v>
      </c>
      <c r="C70" s="10">
        <v>0</v>
      </c>
      <c r="D70" s="10">
        <v>0</v>
      </c>
      <c r="E70" s="11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1</v>
      </c>
      <c r="P70" s="13">
        <v>9</v>
      </c>
      <c r="Q70" s="14">
        <v>4</v>
      </c>
      <c r="R70" s="14">
        <v>3</v>
      </c>
      <c r="S70" s="15">
        <f t="shared" si="11"/>
        <v>17</v>
      </c>
    </row>
    <row r="71" spans="2:19" s="8" customFormat="1" ht="15.75" customHeight="1">
      <c r="B71" s="9" t="s">
        <v>65</v>
      </c>
      <c r="C71" s="10">
        <v>0</v>
      </c>
      <c r="D71" s="10">
        <v>0</v>
      </c>
      <c r="E71" s="11">
        <v>0</v>
      </c>
      <c r="F71" s="12">
        <v>1</v>
      </c>
      <c r="G71" s="12">
        <v>4</v>
      </c>
      <c r="H71" s="12">
        <v>2</v>
      </c>
      <c r="I71" s="12">
        <v>5</v>
      </c>
      <c r="J71" s="12">
        <v>4</v>
      </c>
      <c r="K71" s="12">
        <v>7</v>
      </c>
      <c r="L71" s="12">
        <v>5</v>
      </c>
      <c r="M71" s="12">
        <v>0</v>
      </c>
      <c r="N71" s="12">
        <v>13</v>
      </c>
      <c r="O71" s="12">
        <v>4</v>
      </c>
      <c r="P71" s="13">
        <v>6</v>
      </c>
      <c r="Q71" s="14">
        <v>9</v>
      </c>
      <c r="R71" s="14">
        <v>13</v>
      </c>
      <c r="S71" s="15">
        <f t="shared" si="11"/>
        <v>73</v>
      </c>
    </row>
    <row r="72" spans="2:19" s="8" customFormat="1" ht="14.25">
      <c r="B72" s="9" t="s">
        <v>66</v>
      </c>
      <c r="C72" s="10">
        <v>0</v>
      </c>
      <c r="D72" s="10">
        <v>0</v>
      </c>
      <c r="E72" s="11">
        <v>0</v>
      </c>
      <c r="F72" s="12">
        <v>1</v>
      </c>
      <c r="G72" s="12">
        <v>5</v>
      </c>
      <c r="H72" s="12">
        <v>1</v>
      </c>
      <c r="I72" s="12">
        <v>3</v>
      </c>
      <c r="J72" s="12">
        <v>5</v>
      </c>
      <c r="K72" s="12">
        <v>9</v>
      </c>
      <c r="L72" s="12">
        <v>3</v>
      </c>
      <c r="M72" s="12">
        <v>0</v>
      </c>
      <c r="N72" s="12">
        <v>6</v>
      </c>
      <c r="O72" s="12">
        <v>4</v>
      </c>
      <c r="P72" s="13">
        <v>7</v>
      </c>
      <c r="Q72" s="14">
        <v>11</v>
      </c>
      <c r="R72" s="14">
        <v>5</v>
      </c>
      <c r="S72" s="15">
        <f t="shared" si="11"/>
        <v>60</v>
      </c>
    </row>
    <row r="73" spans="2:19" s="8" customFormat="1" ht="14.25">
      <c r="B73" s="9" t="s">
        <v>67</v>
      </c>
      <c r="C73" s="10">
        <v>0</v>
      </c>
      <c r="D73" s="10">
        <v>0</v>
      </c>
      <c r="E73" s="11">
        <v>1</v>
      </c>
      <c r="F73" s="12">
        <v>1</v>
      </c>
      <c r="G73" s="12">
        <v>5</v>
      </c>
      <c r="H73" s="12">
        <v>3</v>
      </c>
      <c r="I73" s="12">
        <v>4</v>
      </c>
      <c r="J73" s="12">
        <v>4</v>
      </c>
      <c r="K73" s="12">
        <v>6</v>
      </c>
      <c r="L73" s="12">
        <v>16</v>
      </c>
      <c r="M73" s="12">
        <v>2</v>
      </c>
      <c r="N73" s="12">
        <v>8</v>
      </c>
      <c r="O73" s="12">
        <v>4</v>
      </c>
      <c r="P73" s="13">
        <v>16</v>
      </c>
      <c r="Q73" s="14">
        <v>12</v>
      </c>
      <c r="R73" s="14">
        <v>3</v>
      </c>
      <c r="S73" s="15">
        <f t="shared" si="11"/>
        <v>85</v>
      </c>
    </row>
    <row r="74" spans="2:19" s="8" customFormat="1" ht="14.25">
      <c r="B74" s="9" t="s">
        <v>68</v>
      </c>
      <c r="C74" s="10">
        <v>0</v>
      </c>
      <c r="D74" s="10">
        <v>0</v>
      </c>
      <c r="E74" s="11">
        <v>0</v>
      </c>
      <c r="F74" s="12">
        <v>1</v>
      </c>
      <c r="G74" s="12">
        <v>4</v>
      </c>
      <c r="H74" s="12">
        <v>2</v>
      </c>
      <c r="I74" s="12">
        <v>3</v>
      </c>
      <c r="J74" s="12">
        <v>4</v>
      </c>
      <c r="K74" s="12">
        <v>6</v>
      </c>
      <c r="L74" s="12">
        <v>3</v>
      </c>
      <c r="M74" s="12">
        <v>4</v>
      </c>
      <c r="N74" s="12">
        <v>8</v>
      </c>
      <c r="O74" s="12">
        <v>3</v>
      </c>
      <c r="P74" s="13">
        <v>3</v>
      </c>
      <c r="Q74" s="14">
        <v>13</v>
      </c>
      <c r="R74" s="14">
        <v>7</v>
      </c>
      <c r="S74" s="15">
        <f t="shared" si="11"/>
        <v>61</v>
      </c>
    </row>
    <row r="75" spans="2:19" s="8" customFormat="1" ht="14.25">
      <c r="B75" s="9" t="s">
        <v>69</v>
      </c>
      <c r="C75" s="10">
        <v>0</v>
      </c>
      <c r="D75" s="10">
        <v>0</v>
      </c>
      <c r="E75" s="11">
        <v>0</v>
      </c>
      <c r="F75" s="12">
        <v>5</v>
      </c>
      <c r="G75" s="12">
        <v>10</v>
      </c>
      <c r="H75" s="12">
        <v>11</v>
      </c>
      <c r="I75" s="12">
        <v>7</v>
      </c>
      <c r="J75" s="12">
        <v>10</v>
      </c>
      <c r="K75" s="12">
        <v>12</v>
      </c>
      <c r="L75" s="12">
        <v>24</v>
      </c>
      <c r="M75" s="12">
        <v>13</v>
      </c>
      <c r="N75" s="12">
        <v>26</v>
      </c>
      <c r="O75" s="12">
        <v>30</v>
      </c>
      <c r="P75" s="13">
        <v>54</v>
      </c>
      <c r="Q75" s="14">
        <v>56</v>
      </c>
      <c r="R75" s="14">
        <v>15</v>
      </c>
      <c r="S75" s="15">
        <f t="shared" si="11"/>
        <v>273</v>
      </c>
    </row>
    <row r="76" spans="2:19" s="8" customFormat="1" ht="14.25">
      <c r="B76" s="9" t="s">
        <v>70</v>
      </c>
      <c r="C76" s="10">
        <v>0</v>
      </c>
      <c r="D76" s="10">
        <v>0</v>
      </c>
      <c r="E76" s="11">
        <v>0</v>
      </c>
      <c r="F76" s="12">
        <v>1</v>
      </c>
      <c r="G76" s="12">
        <v>7</v>
      </c>
      <c r="H76" s="12">
        <v>2</v>
      </c>
      <c r="I76" s="12">
        <v>4</v>
      </c>
      <c r="J76" s="12">
        <v>4</v>
      </c>
      <c r="K76" s="12">
        <v>6</v>
      </c>
      <c r="L76" s="12">
        <v>3</v>
      </c>
      <c r="M76" s="12">
        <v>1</v>
      </c>
      <c r="N76" s="12">
        <v>15</v>
      </c>
      <c r="O76" s="12">
        <v>4</v>
      </c>
      <c r="P76" s="13">
        <v>10</v>
      </c>
      <c r="Q76" s="14">
        <v>44</v>
      </c>
      <c r="R76" s="14">
        <v>48</v>
      </c>
      <c r="S76" s="15">
        <f t="shared" si="11"/>
        <v>149</v>
      </c>
    </row>
    <row r="77" spans="2:19" s="8" customFormat="1" ht="14.25">
      <c r="B77" s="9" t="s">
        <v>71</v>
      </c>
      <c r="C77" s="10">
        <v>0</v>
      </c>
      <c r="D77" s="10">
        <v>0</v>
      </c>
      <c r="E77" s="11">
        <v>0</v>
      </c>
      <c r="F77" s="12">
        <v>1</v>
      </c>
      <c r="G77" s="12">
        <v>4</v>
      </c>
      <c r="H77" s="12">
        <v>1</v>
      </c>
      <c r="I77" s="12">
        <v>5</v>
      </c>
      <c r="J77" s="12">
        <v>4</v>
      </c>
      <c r="K77" s="12">
        <v>6</v>
      </c>
      <c r="L77" s="12">
        <v>3</v>
      </c>
      <c r="M77" s="12">
        <v>1</v>
      </c>
      <c r="N77" s="12">
        <v>6</v>
      </c>
      <c r="O77" s="12">
        <v>5</v>
      </c>
      <c r="P77" s="13">
        <v>6</v>
      </c>
      <c r="Q77" s="14">
        <v>4</v>
      </c>
      <c r="R77" s="14">
        <v>3</v>
      </c>
      <c r="S77" s="15">
        <f t="shared" si="11"/>
        <v>49</v>
      </c>
    </row>
    <row r="78" spans="2:19" s="8" customFormat="1" ht="14.25">
      <c r="B78" s="9" t="s">
        <v>72</v>
      </c>
      <c r="C78" s="10">
        <v>11</v>
      </c>
      <c r="D78" s="10">
        <v>0</v>
      </c>
      <c r="E78" s="11">
        <v>4</v>
      </c>
      <c r="F78" s="12">
        <v>5</v>
      </c>
      <c r="G78" s="12">
        <v>12</v>
      </c>
      <c r="H78" s="12">
        <v>0</v>
      </c>
      <c r="I78" s="12">
        <v>6</v>
      </c>
      <c r="J78" s="12">
        <v>9</v>
      </c>
      <c r="K78" s="12">
        <v>10</v>
      </c>
      <c r="L78" s="12">
        <v>5</v>
      </c>
      <c r="M78" s="12">
        <v>15</v>
      </c>
      <c r="N78" s="12">
        <v>14</v>
      </c>
      <c r="O78" s="12">
        <v>31</v>
      </c>
      <c r="P78" s="13">
        <v>60</v>
      </c>
      <c r="Q78" s="14">
        <v>82</v>
      </c>
      <c r="R78" s="14">
        <v>22</v>
      </c>
      <c r="S78" s="15">
        <f t="shared" si="11"/>
        <v>286</v>
      </c>
    </row>
    <row r="79" spans="2:19" s="8" customFormat="1" ht="14.25">
      <c r="B79" s="9" t="s">
        <v>73</v>
      </c>
      <c r="C79" s="10">
        <v>0</v>
      </c>
      <c r="D79" s="10">
        <v>0</v>
      </c>
      <c r="E79" s="11">
        <v>0</v>
      </c>
      <c r="F79" s="12">
        <v>1</v>
      </c>
      <c r="G79" s="12">
        <v>4</v>
      </c>
      <c r="H79" s="12">
        <v>3</v>
      </c>
      <c r="I79" s="12">
        <v>4</v>
      </c>
      <c r="J79" s="12">
        <v>4</v>
      </c>
      <c r="K79" s="12">
        <v>7</v>
      </c>
      <c r="L79" s="12">
        <v>3</v>
      </c>
      <c r="M79" s="12">
        <v>1</v>
      </c>
      <c r="N79" s="12">
        <v>6</v>
      </c>
      <c r="O79" s="12">
        <v>6</v>
      </c>
      <c r="P79" s="13">
        <v>6</v>
      </c>
      <c r="Q79" s="14">
        <v>10</v>
      </c>
      <c r="R79" s="14">
        <v>5</v>
      </c>
      <c r="S79" s="15">
        <f t="shared" si="11"/>
        <v>60</v>
      </c>
    </row>
    <row r="80" spans="2:19" s="8" customFormat="1" ht="14.25">
      <c r="B80" s="9" t="s">
        <v>74</v>
      </c>
      <c r="C80" s="10">
        <v>0</v>
      </c>
      <c r="D80" s="10">
        <v>0</v>
      </c>
      <c r="E80" s="11">
        <v>0</v>
      </c>
      <c r="F80" s="12">
        <v>0</v>
      </c>
      <c r="G80" s="12">
        <v>0</v>
      </c>
      <c r="H80" s="12">
        <v>0</v>
      </c>
      <c r="I80" s="12">
        <v>4</v>
      </c>
      <c r="J80" s="12">
        <v>5</v>
      </c>
      <c r="K80" s="12">
        <v>8</v>
      </c>
      <c r="L80" s="12">
        <v>6</v>
      </c>
      <c r="M80" s="12">
        <v>1</v>
      </c>
      <c r="N80" s="12">
        <v>7</v>
      </c>
      <c r="O80" s="12">
        <v>12</v>
      </c>
      <c r="P80" s="13">
        <v>6</v>
      </c>
      <c r="Q80" s="14">
        <v>11</v>
      </c>
      <c r="R80" s="14">
        <v>11</v>
      </c>
      <c r="S80" s="15">
        <f t="shared" si="11"/>
        <v>71</v>
      </c>
    </row>
    <row r="81" spans="2:19" s="8" customFormat="1" ht="14.25">
      <c r="B81" s="9" t="s">
        <v>75</v>
      </c>
      <c r="C81" s="10">
        <v>0</v>
      </c>
      <c r="D81" s="10">
        <v>0</v>
      </c>
      <c r="E81" s="11">
        <v>0</v>
      </c>
      <c r="F81" s="12">
        <v>0</v>
      </c>
      <c r="G81" s="12">
        <v>0</v>
      </c>
      <c r="H81" s="12">
        <v>0</v>
      </c>
      <c r="I81" s="12">
        <v>6</v>
      </c>
      <c r="J81" s="12">
        <v>6</v>
      </c>
      <c r="K81" s="12">
        <v>17</v>
      </c>
      <c r="L81" s="12">
        <v>17</v>
      </c>
      <c r="M81" s="12">
        <v>7</v>
      </c>
      <c r="N81" s="12">
        <v>14</v>
      </c>
      <c r="O81" s="12">
        <v>17</v>
      </c>
      <c r="P81" s="13">
        <v>23</v>
      </c>
      <c r="Q81" s="14">
        <v>25</v>
      </c>
      <c r="R81" s="14">
        <v>18</v>
      </c>
      <c r="S81" s="15">
        <f t="shared" si="11"/>
        <v>150</v>
      </c>
    </row>
    <row r="82" spans="2:19" s="8" customFormat="1" ht="14.25">
      <c r="B82" s="9" t="s">
        <v>135</v>
      </c>
      <c r="C82" s="10">
        <v>0</v>
      </c>
      <c r="D82" s="10">
        <v>0</v>
      </c>
      <c r="E82" s="11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2</v>
      </c>
      <c r="L82" s="12">
        <v>6</v>
      </c>
      <c r="M82" s="12">
        <v>2</v>
      </c>
      <c r="N82" s="12">
        <v>0</v>
      </c>
      <c r="O82" s="12">
        <v>0</v>
      </c>
      <c r="P82" s="13">
        <v>0</v>
      </c>
      <c r="Q82" s="14">
        <v>0</v>
      </c>
      <c r="R82" s="14">
        <v>0</v>
      </c>
      <c r="S82" s="15">
        <f t="shared" si="11"/>
        <v>10</v>
      </c>
    </row>
    <row r="83" spans="2:19" s="8" customFormat="1" ht="14.25">
      <c r="B83" s="9" t="s">
        <v>76</v>
      </c>
      <c r="C83" s="10">
        <v>0</v>
      </c>
      <c r="D83" s="10">
        <v>0</v>
      </c>
      <c r="E83" s="11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2</v>
      </c>
      <c r="M83" s="12">
        <v>1</v>
      </c>
      <c r="N83" s="12">
        <v>9</v>
      </c>
      <c r="O83" s="12">
        <v>9</v>
      </c>
      <c r="P83" s="13">
        <v>5</v>
      </c>
      <c r="Q83" s="14">
        <v>13</v>
      </c>
      <c r="R83" s="14">
        <v>10</v>
      </c>
      <c r="S83" s="15">
        <f t="shared" si="11"/>
        <v>49</v>
      </c>
    </row>
    <row r="84" spans="2:19" s="8" customFormat="1" ht="14.25">
      <c r="B84" s="9" t="s">
        <v>146</v>
      </c>
      <c r="C84" s="10">
        <v>0</v>
      </c>
      <c r="D84" s="10">
        <v>0</v>
      </c>
      <c r="E84" s="11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5</v>
      </c>
      <c r="P84" s="13">
        <v>5</v>
      </c>
      <c r="Q84" s="14">
        <v>7</v>
      </c>
      <c r="R84" s="14">
        <v>7</v>
      </c>
      <c r="S84" s="15">
        <f t="shared" si="11"/>
        <v>24</v>
      </c>
    </row>
    <row r="85" spans="2:19" s="8" customFormat="1" ht="14.25">
      <c r="B85" s="9" t="s">
        <v>113</v>
      </c>
      <c r="C85" s="10">
        <v>0</v>
      </c>
      <c r="D85" s="10">
        <v>0</v>
      </c>
      <c r="E85" s="11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5</v>
      </c>
      <c r="O85" s="12">
        <v>7</v>
      </c>
      <c r="P85" s="13">
        <v>6</v>
      </c>
      <c r="Q85" s="14">
        <v>83</v>
      </c>
      <c r="R85" s="14">
        <v>14</v>
      </c>
      <c r="S85" s="15">
        <f t="shared" si="11"/>
        <v>115</v>
      </c>
    </row>
    <row r="86" spans="2:19" s="8" customFormat="1" ht="14.25">
      <c r="B86" s="9" t="s">
        <v>114</v>
      </c>
      <c r="C86" s="10">
        <v>0</v>
      </c>
      <c r="D86" s="10">
        <v>0</v>
      </c>
      <c r="E86" s="11">
        <v>0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5</v>
      </c>
      <c r="O86" s="12">
        <v>4</v>
      </c>
      <c r="P86" s="13">
        <v>6</v>
      </c>
      <c r="Q86" s="14">
        <v>7</v>
      </c>
      <c r="R86" s="14">
        <v>6</v>
      </c>
      <c r="S86" s="15">
        <f t="shared" si="11"/>
        <v>28</v>
      </c>
    </row>
    <row r="87" spans="2:19" s="8" customFormat="1" ht="14.25">
      <c r="B87" s="9" t="s">
        <v>115</v>
      </c>
      <c r="C87" s="10">
        <v>0</v>
      </c>
      <c r="D87" s="10">
        <v>0</v>
      </c>
      <c r="E87" s="11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3</v>
      </c>
      <c r="P87" s="13">
        <v>56</v>
      </c>
      <c r="Q87" s="14">
        <v>9</v>
      </c>
      <c r="R87" s="14">
        <v>5</v>
      </c>
      <c r="S87" s="15">
        <f t="shared" si="11"/>
        <v>73</v>
      </c>
    </row>
    <row r="88" spans="2:19" s="8" customFormat="1" ht="14.25">
      <c r="B88" s="9" t="s">
        <v>116</v>
      </c>
      <c r="C88" s="10">
        <v>0</v>
      </c>
      <c r="D88" s="10">
        <v>0</v>
      </c>
      <c r="E88" s="11">
        <v>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2">
        <v>18</v>
      </c>
      <c r="P88" s="13">
        <v>10</v>
      </c>
      <c r="Q88" s="14">
        <v>7</v>
      </c>
      <c r="R88" s="14">
        <v>17</v>
      </c>
      <c r="S88" s="15">
        <f t="shared" si="11"/>
        <v>52</v>
      </c>
    </row>
    <row r="89" spans="2:19" s="8" customFormat="1" ht="14.25">
      <c r="B89" s="9" t="s">
        <v>117</v>
      </c>
      <c r="C89" s="10">
        <v>0</v>
      </c>
      <c r="D89" s="10">
        <v>0</v>
      </c>
      <c r="E89" s="11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5</v>
      </c>
      <c r="O89" s="12">
        <v>5</v>
      </c>
      <c r="P89" s="13">
        <v>7</v>
      </c>
      <c r="Q89" s="14">
        <v>21</v>
      </c>
      <c r="R89" s="14">
        <v>6</v>
      </c>
      <c r="S89" s="15">
        <f t="shared" si="11"/>
        <v>44</v>
      </c>
    </row>
    <row r="90" spans="2:19" s="8" customFormat="1" ht="14.25">
      <c r="B90" s="9" t="s">
        <v>118</v>
      </c>
      <c r="C90" s="10">
        <v>0</v>
      </c>
      <c r="D90" s="10">
        <v>0</v>
      </c>
      <c r="E90" s="11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3</v>
      </c>
      <c r="P90" s="13">
        <v>30</v>
      </c>
      <c r="Q90" s="14">
        <v>15</v>
      </c>
      <c r="R90" s="14">
        <v>12</v>
      </c>
      <c r="S90" s="15">
        <f t="shared" si="11"/>
        <v>60</v>
      </c>
    </row>
    <row r="91" spans="2:19" s="8" customFormat="1" ht="14.25">
      <c r="B91" s="9" t="s">
        <v>43</v>
      </c>
      <c r="C91" s="10">
        <v>0</v>
      </c>
      <c r="D91" s="10">
        <v>0</v>
      </c>
      <c r="E91" s="11">
        <v>0</v>
      </c>
      <c r="F91" s="12">
        <v>7</v>
      </c>
      <c r="G91" s="12">
        <v>16</v>
      </c>
      <c r="H91" s="12">
        <v>22</v>
      </c>
      <c r="I91" s="12">
        <v>18</v>
      </c>
      <c r="J91" s="12">
        <v>26</v>
      </c>
      <c r="K91" s="12">
        <v>23</v>
      </c>
      <c r="L91" s="12">
        <v>34</v>
      </c>
      <c r="M91" s="12">
        <v>31</v>
      </c>
      <c r="N91" s="12">
        <v>0</v>
      </c>
      <c r="O91" s="12">
        <v>0</v>
      </c>
      <c r="P91" s="13">
        <v>0</v>
      </c>
      <c r="Q91" s="14">
        <v>0</v>
      </c>
      <c r="R91" s="14">
        <v>0</v>
      </c>
      <c r="S91" s="15">
        <f t="shared" si="11"/>
        <v>177</v>
      </c>
    </row>
    <row r="92" spans="2:19" s="8" customFormat="1" ht="15" thickBot="1">
      <c r="B92" s="9" t="s">
        <v>156</v>
      </c>
      <c r="C92" s="10">
        <v>0</v>
      </c>
      <c r="D92" s="10">
        <v>0</v>
      </c>
      <c r="E92" s="11">
        <v>0</v>
      </c>
      <c r="F92" s="12">
        <v>5</v>
      </c>
      <c r="G92" s="12">
        <v>8</v>
      </c>
      <c r="H92" s="12">
        <v>18</v>
      </c>
      <c r="I92" s="12">
        <v>15</v>
      </c>
      <c r="J92" s="12">
        <v>9</v>
      </c>
      <c r="K92" s="12">
        <v>16</v>
      </c>
      <c r="L92" s="12">
        <v>14</v>
      </c>
      <c r="M92" s="12">
        <v>5</v>
      </c>
      <c r="N92" s="12">
        <v>28</v>
      </c>
      <c r="O92" s="12">
        <v>38</v>
      </c>
      <c r="P92" s="13">
        <v>44</v>
      </c>
      <c r="Q92" s="14">
        <v>117</v>
      </c>
      <c r="R92" s="14">
        <v>30</v>
      </c>
      <c r="S92" s="15">
        <f t="shared" si="11"/>
        <v>347</v>
      </c>
    </row>
    <row r="93" spans="2:19" s="8" customFormat="1" ht="13.5" customHeight="1" thickBot="1">
      <c r="B93" s="25" t="s">
        <v>77</v>
      </c>
      <c r="C93" s="26">
        <f>C47+C48+C49+C50+C51+C52+C53+C54+C55+C56+C57+C58+C59+C60+C61+C62+C63+C64+C65+C66+C67+C68+C69+C70+C71+C72+C73+C74+C75+C76+C77+C78+C79+C80+C81+C82+C83+C84+C85+C86+C87+C88+C89+C90+C91+C92</f>
        <v>30</v>
      </c>
      <c r="D93" s="26">
        <f aca="true" t="shared" si="12" ref="D93:S93">D47+D48+D49+D50+D51+D52+D53+D54+D55+D56+D57+D58+D59+D60+D61+D62+D63+D64+D65+D66+D67+D68+D69+D70+D71+D72+D73+D74+D75+D76+D77+D78+D79+D80+D81+D82+D83+D84+D85+D86+D87+D88+D89+D90+D91+D92</f>
        <v>31</v>
      </c>
      <c r="E93" s="27">
        <f t="shared" si="12"/>
        <v>269</v>
      </c>
      <c r="F93" s="18">
        <f t="shared" si="12"/>
        <v>1252</v>
      </c>
      <c r="G93" s="18">
        <f t="shared" si="12"/>
        <v>1400</v>
      </c>
      <c r="H93" s="18">
        <f t="shared" si="12"/>
        <v>802</v>
      </c>
      <c r="I93" s="18">
        <f t="shared" si="12"/>
        <v>977</v>
      </c>
      <c r="J93" s="18">
        <f t="shared" si="12"/>
        <v>1035</v>
      </c>
      <c r="K93" s="18">
        <f t="shared" si="12"/>
        <v>946</v>
      </c>
      <c r="L93" s="18">
        <f t="shared" si="12"/>
        <v>937</v>
      </c>
      <c r="M93" s="18">
        <f t="shared" si="12"/>
        <v>663</v>
      </c>
      <c r="N93" s="18">
        <f t="shared" si="12"/>
        <v>1368</v>
      </c>
      <c r="O93" s="18">
        <f t="shared" si="12"/>
        <v>2123</v>
      </c>
      <c r="P93" s="19">
        <f t="shared" si="12"/>
        <v>3605</v>
      </c>
      <c r="Q93" s="20">
        <f>SUM(Q47:Q92)</f>
        <v>4188</v>
      </c>
      <c r="R93" s="20">
        <f>SUM(R47:R92)</f>
        <v>2002</v>
      </c>
      <c r="S93" s="22">
        <f t="shared" si="12"/>
        <v>21628</v>
      </c>
    </row>
    <row r="94" spans="2:19" s="8" customFormat="1" ht="14.25">
      <c r="B94" s="28" t="s">
        <v>119</v>
      </c>
      <c r="C94" s="29">
        <v>0</v>
      </c>
      <c r="D94" s="30">
        <v>0</v>
      </c>
      <c r="E94" s="28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11</v>
      </c>
      <c r="N94" s="12">
        <v>202</v>
      </c>
      <c r="O94" s="12">
        <v>253</v>
      </c>
      <c r="P94" s="13">
        <v>8</v>
      </c>
      <c r="Q94" s="14">
        <v>0</v>
      </c>
      <c r="R94" s="14">
        <v>0</v>
      </c>
      <c r="S94" s="15">
        <f aca="true" t="shared" si="13" ref="S94:S99">C94+D94+E94+F94+G94+H94+I94+J94+K94+L94+M94+N94+O94+P94+Q94+R94</f>
        <v>474</v>
      </c>
    </row>
    <row r="95" spans="2:19" s="8" customFormat="1" ht="14.25">
      <c r="B95" s="28" t="s">
        <v>86</v>
      </c>
      <c r="C95" s="29">
        <v>0</v>
      </c>
      <c r="D95" s="30">
        <v>0</v>
      </c>
      <c r="E95" s="28">
        <v>0</v>
      </c>
      <c r="F95" s="12">
        <v>20</v>
      </c>
      <c r="G95" s="12">
        <v>39</v>
      </c>
      <c r="H95" s="12">
        <v>42</v>
      </c>
      <c r="I95" s="12">
        <v>68</v>
      </c>
      <c r="J95" s="12">
        <v>41</v>
      </c>
      <c r="K95" s="12">
        <v>37</v>
      </c>
      <c r="L95" s="12">
        <v>45</v>
      </c>
      <c r="M95" s="12">
        <v>54</v>
      </c>
      <c r="N95" s="12">
        <v>67</v>
      </c>
      <c r="O95" s="12">
        <v>103</v>
      </c>
      <c r="P95" s="13">
        <v>49</v>
      </c>
      <c r="Q95" s="14">
        <v>88</v>
      </c>
      <c r="R95" s="14">
        <v>83</v>
      </c>
      <c r="S95" s="15">
        <f t="shared" si="13"/>
        <v>736</v>
      </c>
    </row>
    <row r="96" spans="2:19" s="8" customFormat="1" ht="14.25">
      <c r="B96" s="31" t="s">
        <v>120</v>
      </c>
      <c r="C96" s="29">
        <v>0</v>
      </c>
      <c r="D96" s="30">
        <v>0</v>
      </c>
      <c r="E96" s="28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4</v>
      </c>
      <c r="O96" s="12">
        <v>12</v>
      </c>
      <c r="P96" s="13">
        <v>15</v>
      </c>
      <c r="Q96" s="14">
        <v>30</v>
      </c>
      <c r="R96" s="14">
        <v>24</v>
      </c>
      <c r="S96" s="15">
        <f t="shared" si="13"/>
        <v>85</v>
      </c>
    </row>
    <row r="97" spans="2:19" s="8" customFormat="1" ht="14.25">
      <c r="B97" s="31" t="s">
        <v>78</v>
      </c>
      <c r="C97" s="29">
        <v>0</v>
      </c>
      <c r="D97" s="30">
        <v>0</v>
      </c>
      <c r="E97" s="28">
        <v>0</v>
      </c>
      <c r="F97" s="12">
        <v>17</v>
      </c>
      <c r="G97" s="12">
        <v>59</v>
      </c>
      <c r="H97" s="12">
        <v>102</v>
      </c>
      <c r="I97" s="12">
        <v>77</v>
      </c>
      <c r="J97" s="12">
        <v>55</v>
      </c>
      <c r="K97" s="12">
        <v>64</v>
      </c>
      <c r="L97" s="12">
        <v>75</v>
      </c>
      <c r="M97" s="12">
        <v>75</v>
      </c>
      <c r="N97" s="12">
        <v>124</v>
      </c>
      <c r="O97" s="12">
        <v>238</v>
      </c>
      <c r="P97" s="13">
        <v>347</v>
      </c>
      <c r="Q97" s="14">
        <v>322</v>
      </c>
      <c r="R97" s="14">
        <v>181</v>
      </c>
      <c r="S97" s="15">
        <f t="shared" si="13"/>
        <v>1736</v>
      </c>
    </row>
    <row r="98" spans="2:19" s="8" customFormat="1" ht="14.25">
      <c r="B98" s="31" t="s">
        <v>129</v>
      </c>
      <c r="C98" s="29">
        <v>0</v>
      </c>
      <c r="D98" s="30">
        <v>0</v>
      </c>
      <c r="E98" s="28">
        <v>0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22</v>
      </c>
      <c r="L98" s="12">
        <v>37</v>
      </c>
      <c r="M98" s="12">
        <v>48</v>
      </c>
      <c r="N98" s="12">
        <v>76</v>
      </c>
      <c r="O98" s="12">
        <v>120</v>
      </c>
      <c r="P98" s="13">
        <v>50</v>
      </c>
      <c r="Q98" s="14">
        <v>80</v>
      </c>
      <c r="R98" s="14">
        <v>128</v>
      </c>
      <c r="S98" s="15">
        <f t="shared" si="13"/>
        <v>561</v>
      </c>
    </row>
    <row r="99" spans="2:19" s="8" customFormat="1" ht="29.25" thickBot="1">
      <c r="B99" s="31" t="s">
        <v>128</v>
      </c>
      <c r="C99" s="29">
        <v>0</v>
      </c>
      <c r="D99" s="30">
        <v>0</v>
      </c>
      <c r="E99" s="28">
        <v>0</v>
      </c>
      <c r="F99" s="12">
        <v>21</v>
      </c>
      <c r="G99" s="12">
        <v>46</v>
      </c>
      <c r="H99" s="12">
        <v>50</v>
      </c>
      <c r="I99" s="12">
        <v>69</v>
      </c>
      <c r="J99" s="12">
        <v>47</v>
      </c>
      <c r="K99" s="12">
        <v>55</v>
      </c>
      <c r="L99" s="12">
        <v>135</v>
      </c>
      <c r="M99" s="12">
        <v>126</v>
      </c>
      <c r="N99" s="12">
        <v>117</v>
      </c>
      <c r="O99" s="12">
        <v>90</v>
      </c>
      <c r="P99" s="13">
        <v>73</v>
      </c>
      <c r="Q99" s="14">
        <v>137</v>
      </c>
      <c r="R99" s="14">
        <v>86</v>
      </c>
      <c r="S99" s="15">
        <f t="shared" si="13"/>
        <v>1052</v>
      </c>
    </row>
    <row r="100" spans="1:19" ht="15" thickBot="1">
      <c r="A100" s="7"/>
      <c r="B100" s="25" t="s">
        <v>121</v>
      </c>
      <c r="C100" s="26">
        <f>C94+C95+C96+C97+C98+C99</f>
        <v>0</v>
      </c>
      <c r="D100" s="26">
        <f aca="true" t="shared" si="14" ref="D100:P100">D94+D95+D96+D97+D98+D99</f>
        <v>0</v>
      </c>
      <c r="E100" s="27">
        <f t="shared" si="14"/>
        <v>0</v>
      </c>
      <c r="F100" s="18">
        <f t="shared" si="14"/>
        <v>58</v>
      </c>
      <c r="G100" s="18">
        <f t="shared" si="14"/>
        <v>144</v>
      </c>
      <c r="H100" s="18">
        <f t="shared" si="14"/>
        <v>194</v>
      </c>
      <c r="I100" s="18">
        <f t="shared" si="14"/>
        <v>214</v>
      </c>
      <c r="J100" s="18">
        <f t="shared" si="14"/>
        <v>143</v>
      </c>
      <c r="K100" s="18">
        <f t="shared" si="14"/>
        <v>178</v>
      </c>
      <c r="L100" s="18">
        <f t="shared" si="14"/>
        <v>292</v>
      </c>
      <c r="M100" s="18">
        <f t="shared" si="14"/>
        <v>314</v>
      </c>
      <c r="N100" s="18">
        <f t="shared" si="14"/>
        <v>590</v>
      </c>
      <c r="O100" s="18">
        <f t="shared" si="14"/>
        <v>816</v>
      </c>
      <c r="P100" s="19">
        <f t="shared" si="14"/>
        <v>542</v>
      </c>
      <c r="Q100" s="20">
        <f>SUM(Q94:Q99)</f>
        <v>657</v>
      </c>
      <c r="R100" s="20">
        <f>SUM(R94:R99)</f>
        <v>502</v>
      </c>
      <c r="S100" s="22">
        <f>S94+S95+S96+S97+S98+S99</f>
        <v>4644</v>
      </c>
    </row>
    <row r="101" spans="2:19" s="8" customFormat="1" ht="15" thickBot="1">
      <c r="B101" s="9" t="s">
        <v>11</v>
      </c>
      <c r="C101" s="10">
        <v>2</v>
      </c>
      <c r="D101" s="10">
        <v>7</v>
      </c>
      <c r="E101" s="11">
        <v>10</v>
      </c>
      <c r="F101" s="32">
        <v>6</v>
      </c>
      <c r="G101" s="32">
        <v>28</v>
      </c>
      <c r="H101" s="32">
        <v>56</v>
      </c>
      <c r="I101" s="32">
        <v>26</v>
      </c>
      <c r="J101" s="32">
        <v>22</v>
      </c>
      <c r="K101" s="32">
        <v>34</v>
      </c>
      <c r="L101" s="32">
        <v>80</v>
      </c>
      <c r="M101" s="32">
        <v>63</v>
      </c>
      <c r="N101" s="32">
        <v>0</v>
      </c>
      <c r="O101" s="32">
        <v>0</v>
      </c>
      <c r="P101" s="33">
        <v>0</v>
      </c>
      <c r="Q101" s="34">
        <v>0</v>
      </c>
      <c r="R101" s="34">
        <v>0</v>
      </c>
      <c r="S101" s="15">
        <f>C101+D101+E101+F101+G101+H101+I101+J101+K101+L101+M101+N101+O101+P101</f>
        <v>334</v>
      </c>
    </row>
    <row r="102" spans="2:19" s="8" customFormat="1" ht="15" thickBot="1">
      <c r="B102" s="17" t="s">
        <v>79</v>
      </c>
      <c r="C102" s="18">
        <f>C101</f>
        <v>2</v>
      </c>
      <c r="D102" s="18">
        <f aca="true" t="shared" si="15" ref="D102:S102">D101</f>
        <v>7</v>
      </c>
      <c r="E102" s="19">
        <f t="shared" si="15"/>
        <v>10</v>
      </c>
      <c r="F102" s="18">
        <f t="shared" si="15"/>
        <v>6</v>
      </c>
      <c r="G102" s="18">
        <f t="shared" si="15"/>
        <v>28</v>
      </c>
      <c r="H102" s="18">
        <f t="shared" si="15"/>
        <v>56</v>
      </c>
      <c r="I102" s="18">
        <f t="shared" si="15"/>
        <v>26</v>
      </c>
      <c r="J102" s="18">
        <f t="shared" si="15"/>
        <v>22</v>
      </c>
      <c r="K102" s="18">
        <f t="shared" si="15"/>
        <v>34</v>
      </c>
      <c r="L102" s="18">
        <f t="shared" si="15"/>
        <v>80</v>
      </c>
      <c r="M102" s="18">
        <f t="shared" si="15"/>
        <v>63</v>
      </c>
      <c r="N102" s="18">
        <f t="shared" si="15"/>
        <v>0</v>
      </c>
      <c r="O102" s="18">
        <f t="shared" si="15"/>
        <v>0</v>
      </c>
      <c r="P102" s="19">
        <f t="shared" si="15"/>
        <v>0</v>
      </c>
      <c r="Q102" s="20">
        <v>0</v>
      </c>
      <c r="R102" s="20">
        <f>R101</f>
        <v>0</v>
      </c>
      <c r="S102" s="22">
        <f t="shared" si="15"/>
        <v>334</v>
      </c>
    </row>
    <row r="103" spans="2:19" s="8" customFormat="1" ht="14.25">
      <c r="B103" s="9" t="s">
        <v>12</v>
      </c>
      <c r="C103" s="10">
        <v>1</v>
      </c>
      <c r="D103" s="10">
        <v>9</v>
      </c>
      <c r="E103" s="11">
        <v>8</v>
      </c>
      <c r="F103" s="12">
        <v>10</v>
      </c>
      <c r="G103" s="12">
        <v>24</v>
      </c>
      <c r="H103" s="12">
        <v>37</v>
      </c>
      <c r="I103" s="12">
        <v>34</v>
      </c>
      <c r="J103" s="12">
        <v>19</v>
      </c>
      <c r="K103" s="12">
        <v>28</v>
      </c>
      <c r="L103" s="12">
        <v>23</v>
      </c>
      <c r="M103" s="12">
        <v>44</v>
      </c>
      <c r="N103" s="12">
        <v>71</v>
      </c>
      <c r="O103" s="12">
        <v>77</v>
      </c>
      <c r="P103" s="13">
        <v>66</v>
      </c>
      <c r="Q103" s="14">
        <v>67</v>
      </c>
      <c r="R103" s="14">
        <v>152</v>
      </c>
      <c r="S103" s="15">
        <f>C103+D103+E103+F103+G103+H103+I103+J103+K103+L103+M103+N103+O103+P103+Q103+R103</f>
        <v>670</v>
      </c>
    </row>
    <row r="104" spans="2:19" s="8" customFormat="1" ht="24" customHeight="1" thickBot="1">
      <c r="B104" s="9" t="s">
        <v>80</v>
      </c>
      <c r="C104" s="10">
        <v>0</v>
      </c>
      <c r="D104" s="10">
        <v>1</v>
      </c>
      <c r="E104" s="11">
        <v>1</v>
      </c>
      <c r="F104" s="12">
        <v>4</v>
      </c>
      <c r="G104" s="12">
        <v>6</v>
      </c>
      <c r="H104" s="12">
        <v>7</v>
      </c>
      <c r="I104" s="12">
        <v>6</v>
      </c>
      <c r="J104" s="12">
        <v>5</v>
      </c>
      <c r="K104" s="12">
        <v>7</v>
      </c>
      <c r="L104" s="12">
        <v>5</v>
      </c>
      <c r="M104" s="12">
        <v>9</v>
      </c>
      <c r="N104" s="12">
        <v>7</v>
      </c>
      <c r="O104" s="12">
        <v>10</v>
      </c>
      <c r="P104" s="13">
        <v>11</v>
      </c>
      <c r="Q104" s="14">
        <v>15</v>
      </c>
      <c r="R104" s="14">
        <v>49</v>
      </c>
      <c r="S104" s="15">
        <f>C104+D104+E104+F104+G104+H104+I104+J104+K104+L104+M104+N104+O104+P104+Q104+R104</f>
        <v>143</v>
      </c>
    </row>
    <row r="105" spans="1:19" ht="15" thickBot="1">
      <c r="A105" s="7"/>
      <c r="B105" s="17" t="s">
        <v>81</v>
      </c>
      <c r="C105" s="18">
        <f>C103+C104</f>
        <v>1</v>
      </c>
      <c r="D105" s="18">
        <f aca="true" t="shared" si="16" ref="D105:S105">D103+D104</f>
        <v>10</v>
      </c>
      <c r="E105" s="19">
        <f t="shared" si="16"/>
        <v>9</v>
      </c>
      <c r="F105" s="18">
        <f t="shared" si="16"/>
        <v>14</v>
      </c>
      <c r="G105" s="18">
        <f t="shared" si="16"/>
        <v>30</v>
      </c>
      <c r="H105" s="18">
        <f t="shared" si="16"/>
        <v>44</v>
      </c>
      <c r="I105" s="18">
        <f t="shared" si="16"/>
        <v>40</v>
      </c>
      <c r="J105" s="18">
        <f t="shared" si="16"/>
        <v>24</v>
      </c>
      <c r="K105" s="18">
        <f t="shared" si="16"/>
        <v>35</v>
      </c>
      <c r="L105" s="18">
        <f t="shared" si="16"/>
        <v>28</v>
      </c>
      <c r="M105" s="18">
        <f t="shared" si="16"/>
        <v>53</v>
      </c>
      <c r="N105" s="18">
        <f t="shared" si="16"/>
        <v>78</v>
      </c>
      <c r="O105" s="18">
        <f t="shared" si="16"/>
        <v>87</v>
      </c>
      <c r="P105" s="19">
        <f t="shared" si="16"/>
        <v>77</v>
      </c>
      <c r="Q105" s="20">
        <f>SUM(Q103:Q104)</f>
        <v>82</v>
      </c>
      <c r="R105" s="20">
        <f>SUM(R103:R104)</f>
        <v>201</v>
      </c>
      <c r="S105" s="22">
        <f t="shared" si="16"/>
        <v>813</v>
      </c>
    </row>
    <row r="106" spans="2:19" s="8" customFormat="1" ht="14.25">
      <c r="B106" s="9" t="s">
        <v>13</v>
      </c>
      <c r="C106" s="10">
        <v>12</v>
      </c>
      <c r="D106" s="10">
        <v>3</v>
      </c>
      <c r="E106" s="11">
        <v>15</v>
      </c>
      <c r="F106" s="12">
        <v>10</v>
      </c>
      <c r="G106" s="12">
        <v>14</v>
      </c>
      <c r="H106" s="12">
        <v>48</v>
      </c>
      <c r="I106" s="12">
        <v>53</v>
      </c>
      <c r="J106" s="12">
        <v>33</v>
      </c>
      <c r="K106" s="12">
        <v>46</v>
      </c>
      <c r="L106" s="12">
        <v>38</v>
      </c>
      <c r="M106" s="12">
        <v>49</v>
      </c>
      <c r="N106" s="12">
        <v>76</v>
      </c>
      <c r="O106" s="12">
        <v>91</v>
      </c>
      <c r="P106" s="13">
        <v>103</v>
      </c>
      <c r="Q106" s="14">
        <v>378</v>
      </c>
      <c r="R106" s="14">
        <v>103</v>
      </c>
      <c r="S106" s="15">
        <f>C106+D106+E106+F106+G106+H106+I106+J106+K106+L106+M106+N106+O106+P106+Q106+R106</f>
        <v>1072</v>
      </c>
    </row>
    <row r="107" spans="2:19" s="8" customFormat="1" ht="14.25">
      <c r="B107" s="9" t="s">
        <v>82</v>
      </c>
      <c r="C107" s="10">
        <v>0</v>
      </c>
      <c r="D107" s="10">
        <v>0</v>
      </c>
      <c r="E107" s="11">
        <v>2</v>
      </c>
      <c r="F107" s="12">
        <v>1</v>
      </c>
      <c r="G107" s="12">
        <v>4</v>
      </c>
      <c r="H107" s="12">
        <v>8</v>
      </c>
      <c r="I107" s="12">
        <v>6</v>
      </c>
      <c r="J107" s="12">
        <v>6</v>
      </c>
      <c r="K107" s="12">
        <v>6</v>
      </c>
      <c r="L107" s="12">
        <v>7</v>
      </c>
      <c r="M107" s="12">
        <v>4</v>
      </c>
      <c r="N107" s="12">
        <v>8</v>
      </c>
      <c r="O107" s="12">
        <v>7</v>
      </c>
      <c r="P107" s="13">
        <v>8</v>
      </c>
      <c r="Q107" s="14">
        <v>11</v>
      </c>
      <c r="R107" s="14">
        <v>5</v>
      </c>
      <c r="S107" s="15">
        <f>C107+D107+E107+F107+G107+H107+I107+J107+K107+L107+M107+N107+O107+P107+Q107+R107</f>
        <v>83</v>
      </c>
    </row>
    <row r="108" spans="2:19" s="8" customFormat="1" ht="15" thickBot="1">
      <c r="B108" s="9" t="s">
        <v>83</v>
      </c>
      <c r="C108" s="10">
        <v>0</v>
      </c>
      <c r="D108" s="10">
        <v>0</v>
      </c>
      <c r="E108" s="11">
        <v>3</v>
      </c>
      <c r="F108" s="12">
        <v>3</v>
      </c>
      <c r="G108" s="12">
        <v>11</v>
      </c>
      <c r="H108" s="12">
        <v>11</v>
      </c>
      <c r="I108" s="12">
        <v>16</v>
      </c>
      <c r="J108" s="12">
        <v>14</v>
      </c>
      <c r="K108" s="12">
        <v>11</v>
      </c>
      <c r="L108" s="12">
        <v>12</v>
      </c>
      <c r="M108" s="12">
        <v>10</v>
      </c>
      <c r="N108" s="12">
        <v>17</v>
      </c>
      <c r="O108" s="12">
        <v>25</v>
      </c>
      <c r="P108" s="13">
        <v>12</v>
      </c>
      <c r="Q108" s="14">
        <v>36</v>
      </c>
      <c r="R108" s="14">
        <v>27</v>
      </c>
      <c r="S108" s="15">
        <f>C108+D108+E108+F108+G108+H108+I108+J108+K108+L108+M108+N108+O108+P108+Q108+R108</f>
        <v>208</v>
      </c>
    </row>
    <row r="109" spans="1:19" ht="15" thickBot="1">
      <c r="A109" s="7"/>
      <c r="B109" s="17" t="s">
        <v>84</v>
      </c>
      <c r="C109" s="18">
        <f>C106+C107+C108</f>
        <v>12</v>
      </c>
      <c r="D109" s="18">
        <f aca="true" t="shared" si="17" ref="D109:S109">D106+D107+D108</f>
        <v>3</v>
      </c>
      <c r="E109" s="19">
        <f t="shared" si="17"/>
        <v>20</v>
      </c>
      <c r="F109" s="18">
        <f t="shared" si="17"/>
        <v>14</v>
      </c>
      <c r="G109" s="18">
        <f t="shared" si="17"/>
        <v>29</v>
      </c>
      <c r="H109" s="18">
        <f t="shared" si="17"/>
        <v>67</v>
      </c>
      <c r="I109" s="18">
        <f t="shared" si="17"/>
        <v>75</v>
      </c>
      <c r="J109" s="18">
        <f t="shared" si="17"/>
        <v>53</v>
      </c>
      <c r="K109" s="18">
        <f t="shared" si="17"/>
        <v>63</v>
      </c>
      <c r="L109" s="18">
        <f t="shared" si="17"/>
        <v>57</v>
      </c>
      <c r="M109" s="18">
        <f t="shared" si="17"/>
        <v>63</v>
      </c>
      <c r="N109" s="18">
        <f t="shared" si="17"/>
        <v>101</v>
      </c>
      <c r="O109" s="18">
        <f t="shared" si="17"/>
        <v>123</v>
      </c>
      <c r="P109" s="19">
        <f t="shared" si="17"/>
        <v>123</v>
      </c>
      <c r="Q109" s="20">
        <f>SUM(Q106:Q108)</f>
        <v>425</v>
      </c>
      <c r="R109" s="20">
        <f>SUM(R106:R108)</f>
        <v>135</v>
      </c>
      <c r="S109" s="22">
        <f t="shared" si="17"/>
        <v>1363</v>
      </c>
    </row>
    <row r="110" spans="2:19" s="8" customFormat="1" ht="14.25">
      <c r="B110" s="9" t="s">
        <v>14</v>
      </c>
      <c r="C110" s="10">
        <v>12</v>
      </c>
      <c r="D110" s="10">
        <v>19</v>
      </c>
      <c r="E110" s="11">
        <v>54</v>
      </c>
      <c r="F110" s="12">
        <v>31</v>
      </c>
      <c r="G110" s="12">
        <v>43</v>
      </c>
      <c r="H110" s="12">
        <v>88</v>
      </c>
      <c r="I110" s="12">
        <v>154</v>
      </c>
      <c r="J110" s="12">
        <v>77</v>
      </c>
      <c r="K110" s="12">
        <v>89</v>
      </c>
      <c r="L110" s="12">
        <v>75</v>
      </c>
      <c r="M110" s="12">
        <v>82</v>
      </c>
      <c r="N110" s="12">
        <v>109</v>
      </c>
      <c r="O110" s="12">
        <v>187</v>
      </c>
      <c r="P110" s="13">
        <v>223</v>
      </c>
      <c r="Q110" s="14">
        <v>267</v>
      </c>
      <c r="R110" s="14">
        <v>283</v>
      </c>
      <c r="S110" s="15">
        <f>C110+D110+E110+F110+G110+H110+I110+J110+K110+L110+M110+N110+O110+P110+Q110+R110</f>
        <v>1793</v>
      </c>
    </row>
    <row r="111" spans="2:19" s="8" customFormat="1" ht="15" thickBot="1">
      <c r="B111" s="9" t="s">
        <v>25</v>
      </c>
      <c r="C111" s="10">
        <v>0</v>
      </c>
      <c r="D111" s="10">
        <v>0</v>
      </c>
      <c r="E111" s="11">
        <v>0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8</v>
      </c>
      <c r="L111" s="12">
        <v>14</v>
      </c>
      <c r="M111" s="12">
        <v>10</v>
      </c>
      <c r="N111" s="12">
        <v>19</v>
      </c>
      <c r="O111" s="12">
        <v>24</v>
      </c>
      <c r="P111" s="13">
        <v>21</v>
      </c>
      <c r="Q111" s="14">
        <v>5</v>
      </c>
      <c r="R111" s="14">
        <v>0</v>
      </c>
      <c r="S111" s="15">
        <f>C111+D111+E111+F111+G111+H111+I111+J111+K111+L111+M111+N111+O111+P111+Q111+R111</f>
        <v>101</v>
      </c>
    </row>
    <row r="112" spans="2:19" s="8" customFormat="1" ht="15" thickBot="1">
      <c r="B112" s="17" t="s">
        <v>85</v>
      </c>
      <c r="C112" s="18">
        <f>C110+C111</f>
        <v>12</v>
      </c>
      <c r="D112" s="18">
        <f aca="true" t="shared" si="18" ref="D112:S112">D110+D111</f>
        <v>19</v>
      </c>
      <c r="E112" s="19">
        <f t="shared" si="18"/>
        <v>54</v>
      </c>
      <c r="F112" s="18">
        <f t="shared" si="18"/>
        <v>31</v>
      </c>
      <c r="G112" s="18">
        <f t="shared" si="18"/>
        <v>43</v>
      </c>
      <c r="H112" s="18">
        <f t="shared" si="18"/>
        <v>88</v>
      </c>
      <c r="I112" s="18">
        <f t="shared" si="18"/>
        <v>154</v>
      </c>
      <c r="J112" s="18">
        <f t="shared" si="18"/>
        <v>77</v>
      </c>
      <c r="K112" s="18">
        <f t="shared" si="18"/>
        <v>97</v>
      </c>
      <c r="L112" s="18">
        <f t="shared" si="18"/>
        <v>89</v>
      </c>
      <c r="M112" s="18">
        <f t="shared" si="18"/>
        <v>92</v>
      </c>
      <c r="N112" s="18">
        <f t="shared" si="18"/>
        <v>128</v>
      </c>
      <c r="O112" s="18">
        <f t="shared" si="18"/>
        <v>211</v>
      </c>
      <c r="P112" s="19">
        <f t="shared" si="18"/>
        <v>244</v>
      </c>
      <c r="Q112" s="20">
        <f>SUM(Q110:Q111)</f>
        <v>272</v>
      </c>
      <c r="R112" s="20">
        <f>SUM(R110:R111)</f>
        <v>283</v>
      </c>
      <c r="S112" s="22">
        <f t="shared" si="18"/>
        <v>1894</v>
      </c>
    </row>
    <row r="113" spans="2:19" s="8" customFormat="1" ht="15" thickBot="1">
      <c r="B113" s="9" t="s">
        <v>15</v>
      </c>
      <c r="C113" s="10">
        <v>1</v>
      </c>
      <c r="D113" s="10">
        <v>1</v>
      </c>
      <c r="E113" s="11">
        <v>31</v>
      </c>
      <c r="F113" s="12">
        <v>30</v>
      </c>
      <c r="G113" s="12">
        <v>65</v>
      </c>
      <c r="H113" s="12">
        <v>134</v>
      </c>
      <c r="I113" s="12">
        <v>97</v>
      </c>
      <c r="J113" s="12">
        <v>96</v>
      </c>
      <c r="K113" s="12">
        <v>101</v>
      </c>
      <c r="L113" s="12">
        <v>199</v>
      </c>
      <c r="M113" s="12">
        <v>211</v>
      </c>
      <c r="N113" s="12">
        <v>0</v>
      </c>
      <c r="O113" s="12">
        <v>0</v>
      </c>
      <c r="P113" s="13">
        <v>146</v>
      </c>
      <c r="Q113" s="14">
        <v>0</v>
      </c>
      <c r="R113" s="14">
        <v>0</v>
      </c>
      <c r="S113" s="15">
        <f>C113+D113+E113+F113+G113+H113+I113+J113+K113+L113+M113+N113+O113+P113</f>
        <v>1112</v>
      </c>
    </row>
    <row r="114" spans="1:19" ht="15" thickBot="1">
      <c r="A114" s="8"/>
      <c r="B114" s="17" t="s">
        <v>87</v>
      </c>
      <c r="C114" s="18">
        <f>C113</f>
        <v>1</v>
      </c>
      <c r="D114" s="18">
        <f aca="true" t="shared" si="19" ref="D114:S114">D113</f>
        <v>1</v>
      </c>
      <c r="E114" s="19">
        <f t="shared" si="19"/>
        <v>31</v>
      </c>
      <c r="F114" s="18">
        <f t="shared" si="19"/>
        <v>30</v>
      </c>
      <c r="G114" s="18">
        <f t="shared" si="19"/>
        <v>65</v>
      </c>
      <c r="H114" s="18">
        <f t="shared" si="19"/>
        <v>134</v>
      </c>
      <c r="I114" s="18">
        <f t="shared" si="19"/>
        <v>97</v>
      </c>
      <c r="J114" s="18">
        <f t="shared" si="19"/>
        <v>96</v>
      </c>
      <c r="K114" s="18">
        <f t="shared" si="19"/>
        <v>101</v>
      </c>
      <c r="L114" s="18">
        <f t="shared" si="19"/>
        <v>199</v>
      </c>
      <c r="M114" s="18">
        <f t="shared" si="19"/>
        <v>211</v>
      </c>
      <c r="N114" s="18">
        <f t="shared" si="19"/>
        <v>0</v>
      </c>
      <c r="O114" s="18">
        <f t="shared" si="19"/>
        <v>0</v>
      </c>
      <c r="P114" s="19">
        <f t="shared" si="19"/>
        <v>146</v>
      </c>
      <c r="Q114" s="20">
        <v>0</v>
      </c>
      <c r="R114" s="20">
        <f>0</f>
        <v>0</v>
      </c>
      <c r="S114" s="22">
        <f t="shared" si="19"/>
        <v>1112</v>
      </c>
    </row>
    <row r="115" spans="2:19" s="8" customFormat="1" ht="14.25">
      <c r="B115" s="9" t="s">
        <v>16</v>
      </c>
      <c r="C115" s="10">
        <v>5</v>
      </c>
      <c r="D115" s="10">
        <v>17</v>
      </c>
      <c r="E115" s="11">
        <v>67</v>
      </c>
      <c r="F115" s="12">
        <v>32</v>
      </c>
      <c r="G115" s="12">
        <v>78</v>
      </c>
      <c r="H115" s="12">
        <v>123</v>
      </c>
      <c r="I115" s="12">
        <v>135</v>
      </c>
      <c r="J115" s="12">
        <v>136</v>
      </c>
      <c r="K115" s="12">
        <v>111</v>
      </c>
      <c r="L115" s="12">
        <v>771</v>
      </c>
      <c r="M115" s="12">
        <v>196</v>
      </c>
      <c r="N115" s="12">
        <v>257</v>
      </c>
      <c r="O115" s="12">
        <v>331</v>
      </c>
      <c r="P115" s="13">
        <v>472</v>
      </c>
      <c r="Q115" s="14">
        <v>576</v>
      </c>
      <c r="R115" s="14">
        <v>392</v>
      </c>
      <c r="S115" s="15">
        <f aca="true" t="shared" si="20" ref="S115:S120">C115+D115+E115+F115+G115+H115+I115+J115+K115+L115+M115+N115+O115+P115+Q115+R115</f>
        <v>3699</v>
      </c>
    </row>
    <row r="116" spans="2:19" s="8" customFormat="1" ht="14.25">
      <c r="B116" s="9" t="s">
        <v>88</v>
      </c>
      <c r="C116" s="10">
        <v>6</v>
      </c>
      <c r="D116" s="10">
        <v>4</v>
      </c>
      <c r="E116" s="11">
        <v>7</v>
      </c>
      <c r="F116" s="12">
        <v>19</v>
      </c>
      <c r="G116" s="12">
        <v>22</v>
      </c>
      <c r="H116" s="12">
        <v>19</v>
      </c>
      <c r="I116" s="12">
        <v>19</v>
      </c>
      <c r="J116" s="12">
        <v>33</v>
      </c>
      <c r="K116" s="12">
        <v>35</v>
      </c>
      <c r="L116" s="12">
        <v>50</v>
      </c>
      <c r="M116" s="12">
        <v>24</v>
      </c>
      <c r="N116" s="12">
        <v>31</v>
      </c>
      <c r="O116" s="12">
        <v>33</v>
      </c>
      <c r="P116" s="13">
        <v>69</v>
      </c>
      <c r="Q116" s="14">
        <v>49</v>
      </c>
      <c r="R116" s="14">
        <v>48</v>
      </c>
      <c r="S116" s="15">
        <f t="shared" si="20"/>
        <v>468</v>
      </c>
    </row>
    <row r="117" spans="2:19" s="8" customFormat="1" ht="14.25">
      <c r="B117" s="9" t="s">
        <v>89</v>
      </c>
      <c r="C117" s="10">
        <v>0</v>
      </c>
      <c r="D117" s="10">
        <v>0</v>
      </c>
      <c r="E117" s="11">
        <v>1</v>
      </c>
      <c r="F117" s="12">
        <v>2</v>
      </c>
      <c r="G117" s="12">
        <v>7</v>
      </c>
      <c r="H117" s="12">
        <v>5</v>
      </c>
      <c r="I117" s="12">
        <v>10</v>
      </c>
      <c r="J117" s="12">
        <v>5</v>
      </c>
      <c r="K117" s="12">
        <v>10</v>
      </c>
      <c r="L117" s="12">
        <v>11</v>
      </c>
      <c r="M117" s="12">
        <v>1</v>
      </c>
      <c r="N117" s="12">
        <v>10</v>
      </c>
      <c r="O117" s="12">
        <v>7</v>
      </c>
      <c r="P117" s="13">
        <v>9</v>
      </c>
      <c r="Q117" s="14">
        <v>11</v>
      </c>
      <c r="R117" s="14">
        <v>14</v>
      </c>
      <c r="S117" s="15">
        <f t="shared" si="20"/>
        <v>103</v>
      </c>
    </row>
    <row r="118" spans="2:19" s="8" customFormat="1" ht="14.25">
      <c r="B118" s="9" t="s">
        <v>90</v>
      </c>
      <c r="C118" s="10">
        <v>0</v>
      </c>
      <c r="D118" s="10">
        <v>0</v>
      </c>
      <c r="E118" s="11">
        <v>0</v>
      </c>
      <c r="F118" s="12">
        <v>9</v>
      </c>
      <c r="G118" s="12">
        <v>29</v>
      </c>
      <c r="H118" s="12">
        <v>18</v>
      </c>
      <c r="I118" s="12">
        <v>25</v>
      </c>
      <c r="J118" s="12">
        <v>25</v>
      </c>
      <c r="K118" s="12">
        <v>26</v>
      </c>
      <c r="L118" s="12">
        <v>41</v>
      </c>
      <c r="M118" s="12">
        <v>31</v>
      </c>
      <c r="N118" s="12">
        <v>53</v>
      </c>
      <c r="O118" s="12">
        <v>97</v>
      </c>
      <c r="P118" s="13">
        <v>141</v>
      </c>
      <c r="Q118" s="14">
        <v>213</v>
      </c>
      <c r="R118" s="14">
        <v>82</v>
      </c>
      <c r="S118" s="15">
        <f t="shared" si="20"/>
        <v>790</v>
      </c>
    </row>
    <row r="119" spans="2:19" s="8" customFormat="1" ht="14.25">
      <c r="B119" s="9" t="s">
        <v>91</v>
      </c>
      <c r="C119" s="10">
        <v>2</v>
      </c>
      <c r="D119" s="10">
        <v>3</v>
      </c>
      <c r="E119" s="11">
        <v>3</v>
      </c>
      <c r="F119" s="12">
        <v>1</v>
      </c>
      <c r="G119" s="12">
        <v>21</v>
      </c>
      <c r="H119" s="12">
        <v>46</v>
      </c>
      <c r="I119" s="12">
        <v>13</v>
      </c>
      <c r="J119" s="12">
        <v>16</v>
      </c>
      <c r="K119" s="12">
        <v>35</v>
      </c>
      <c r="L119" s="12">
        <v>66</v>
      </c>
      <c r="M119" s="12">
        <v>17</v>
      </c>
      <c r="N119" s="12">
        <v>29</v>
      </c>
      <c r="O119" s="12">
        <v>63</v>
      </c>
      <c r="P119" s="13">
        <v>40</v>
      </c>
      <c r="Q119" s="14">
        <v>70</v>
      </c>
      <c r="R119" s="14">
        <v>41</v>
      </c>
      <c r="S119" s="15">
        <f t="shared" si="20"/>
        <v>466</v>
      </c>
    </row>
    <row r="120" spans="2:19" s="8" customFormat="1" ht="15" thickBot="1">
      <c r="B120" s="9" t="s">
        <v>157</v>
      </c>
      <c r="C120" s="10">
        <v>0</v>
      </c>
      <c r="D120" s="10">
        <v>0</v>
      </c>
      <c r="E120" s="11">
        <v>0</v>
      </c>
      <c r="F120" s="12">
        <v>0</v>
      </c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12">
        <v>0</v>
      </c>
      <c r="M120" s="12">
        <v>2</v>
      </c>
      <c r="N120" s="12">
        <v>11</v>
      </c>
      <c r="O120" s="12">
        <v>20</v>
      </c>
      <c r="P120" s="13">
        <v>22</v>
      </c>
      <c r="Q120" s="14">
        <v>30</v>
      </c>
      <c r="R120" s="14">
        <v>14</v>
      </c>
      <c r="S120" s="15">
        <f t="shared" si="20"/>
        <v>99</v>
      </c>
    </row>
    <row r="121" spans="1:19" ht="15" thickBot="1">
      <c r="A121" s="7"/>
      <c r="B121" s="17" t="s">
        <v>92</v>
      </c>
      <c r="C121" s="18">
        <f>C115+C116+C117+C118+C119+C120</f>
        <v>13</v>
      </c>
      <c r="D121" s="18">
        <f aca="true" t="shared" si="21" ref="D121:S121">D115+D116+D117+D118+D119+D120</f>
        <v>24</v>
      </c>
      <c r="E121" s="19">
        <f t="shared" si="21"/>
        <v>78</v>
      </c>
      <c r="F121" s="18">
        <f t="shared" si="21"/>
        <v>63</v>
      </c>
      <c r="G121" s="18">
        <f t="shared" si="21"/>
        <v>157</v>
      </c>
      <c r="H121" s="18">
        <f t="shared" si="21"/>
        <v>211</v>
      </c>
      <c r="I121" s="18">
        <f t="shared" si="21"/>
        <v>202</v>
      </c>
      <c r="J121" s="18">
        <f t="shared" si="21"/>
        <v>215</v>
      </c>
      <c r="K121" s="18">
        <f t="shared" si="21"/>
        <v>217</v>
      </c>
      <c r="L121" s="18">
        <f t="shared" si="21"/>
        <v>939</v>
      </c>
      <c r="M121" s="18">
        <f t="shared" si="21"/>
        <v>271</v>
      </c>
      <c r="N121" s="18">
        <f t="shared" si="21"/>
        <v>391</v>
      </c>
      <c r="O121" s="18">
        <f t="shared" si="21"/>
        <v>551</v>
      </c>
      <c r="P121" s="19">
        <f t="shared" si="21"/>
        <v>753</v>
      </c>
      <c r="Q121" s="20">
        <f>SUM(Q115:Q120)</f>
        <v>949</v>
      </c>
      <c r="R121" s="20">
        <f>SUM(R115:R120)</f>
        <v>591</v>
      </c>
      <c r="S121" s="22">
        <f t="shared" si="21"/>
        <v>5625</v>
      </c>
    </row>
    <row r="122" spans="2:19" s="8" customFormat="1" ht="14.25">
      <c r="B122" s="9" t="s">
        <v>17</v>
      </c>
      <c r="C122" s="10">
        <v>2</v>
      </c>
      <c r="D122" s="10">
        <v>1</v>
      </c>
      <c r="E122" s="11">
        <v>18</v>
      </c>
      <c r="F122" s="12">
        <v>24</v>
      </c>
      <c r="G122" s="12">
        <v>72</v>
      </c>
      <c r="H122" s="12">
        <v>70</v>
      </c>
      <c r="I122" s="12">
        <v>73</v>
      </c>
      <c r="J122" s="12">
        <v>42</v>
      </c>
      <c r="K122" s="12">
        <v>59</v>
      </c>
      <c r="L122" s="12">
        <v>57</v>
      </c>
      <c r="M122" s="12">
        <v>93</v>
      </c>
      <c r="N122" s="12">
        <v>71</v>
      </c>
      <c r="O122" s="12">
        <v>151</v>
      </c>
      <c r="P122" s="13">
        <v>161</v>
      </c>
      <c r="Q122" s="14">
        <v>184</v>
      </c>
      <c r="R122" s="14">
        <v>175</v>
      </c>
      <c r="S122" s="15">
        <f aca="true" t="shared" si="22" ref="S122:S127">C122+D122+E122+F122+G122+H122+I122+J122+K122+L122+M122+N122+O122+P122+Q122+R122</f>
        <v>1253</v>
      </c>
    </row>
    <row r="123" spans="2:19" s="8" customFormat="1" ht="14.25">
      <c r="B123" s="9" t="s">
        <v>93</v>
      </c>
      <c r="C123" s="10">
        <v>0</v>
      </c>
      <c r="D123" s="10">
        <v>2</v>
      </c>
      <c r="E123" s="11">
        <v>5</v>
      </c>
      <c r="F123" s="12">
        <v>4</v>
      </c>
      <c r="G123" s="12">
        <v>6</v>
      </c>
      <c r="H123" s="12">
        <v>13</v>
      </c>
      <c r="I123" s="12">
        <v>16</v>
      </c>
      <c r="J123" s="12">
        <v>15</v>
      </c>
      <c r="K123" s="12">
        <v>15</v>
      </c>
      <c r="L123" s="12">
        <v>9</v>
      </c>
      <c r="M123" s="12">
        <v>9</v>
      </c>
      <c r="N123" s="12">
        <v>14</v>
      </c>
      <c r="O123" s="12">
        <v>22</v>
      </c>
      <c r="P123" s="13">
        <v>29</v>
      </c>
      <c r="Q123" s="14">
        <v>45</v>
      </c>
      <c r="R123" s="14">
        <v>34</v>
      </c>
      <c r="S123" s="15">
        <f t="shared" si="22"/>
        <v>238</v>
      </c>
    </row>
    <row r="124" spans="2:19" s="8" customFormat="1" ht="14.25">
      <c r="B124" s="9" t="s">
        <v>94</v>
      </c>
      <c r="C124" s="10">
        <v>0</v>
      </c>
      <c r="D124" s="10">
        <v>0</v>
      </c>
      <c r="E124" s="11">
        <v>11</v>
      </c>
      <c r="F124" s="12">
        <v>5</v>
      </c>
      <c r="G124" s="12">
        <v>18</v>
      </c>
      <c r="H124" s="12">
        <v>18</v>
      </c>
      <c r="I124" s="12">
        <v>12</v>
      </c>
      <c r="J124" s="12">
        <v>15</v>
      </c>
      <c r="K124" s="12">
        <v>14</v>
      </c>
      <c r="L124" s="12">
        <v>14</v>
      </c>
      <c r="M124" s="12">
        <v>41</v>
      </c>
      <c r="N124" s="12">
        <v>25</v>
      </c>
      <c r="O124" s="12">
        <v>36</v>
      </c>
      <c r="P124" s="13">
        <v>24</v>
      </c>
      <c r="Q124" s="14">
        <v>36</v>
      </c>
      <c r="R124" s="14">
        <v>57</v>
      </c>
      <c r="S124" s="15">
        <f t="shared" si="22"/>
        <v>326</v>
      </c>
    </row>
    <row r="125" spans="2:19" s="8" customFormat="1" ht="14.25">
      <c r="B125" s="9" t="s">
        <v>95</v>
      </c>
      <c r="C125" s="10">
        <v>0</v>
      </c>
      <c r="D125" s="10">
        <v>0</v>
      </c>
      <c r="E125" s="11">
        <v>11</v>
      </c>
      <c r="F125" s="12">
        <v>9</v>
      </c>
      <c r="G125" s="12">
        <v>36</v>
      </c>
      <c r="H125" s="12">
        <v>28</v>
      </c>
      <c r="I125" s="12">
        <v>40</v>
      </c>
      <c r="J125" s="12">
        <v>41</v>
      </c>
      <c r="K125" s="12">
        <v>38</v>
      </c>
      <c r="L125" s="12">
        <v>29</v>
      </c>
      <c r="M125" s="12">
        <v>28</v>
      </c>
      <c r="N125" s="12">
        <v>66</v>
      </c>
      <c r="O125" s="12">
        <v>172</v>
      </c>
      <c r="P125" s="13">
        <v>158</v>
      </c>
      <c r="Q125" s="14">
        <v>216</v>
      </c>
      <c r="R125" s="14">
        <v>134</v>
      </c>
      <c r="S125" s="15">
        <f t="shared" si="22"/>
        <v>1006</v>
      </c>
    </row>
    <row r="126" spans="2:19" s="8" customFormat="1" ht="13.5" customHeight="1">
      <c r="B126" s="9" t="s">
        <v>158</v>
      </c>
      <c r="C126" s="10">
        <v>0</v>
      </c>
      <c r="D126" s="10">
        <v>0</v>
      </c>
      <c r="E126" s="11">
        <v>5</v>
      </c>
      <c r="F126" s="12">
        <v>5</v>
      </c>
      <c r="G126" s="12">
        <v>9</v>
      </c>
      <c r="H126" s="12">
        <v>6</v>
      </c>
      <c r="I126" s="12">
        <v>16</v>
      </c>
      <c r="J126" s="12">
        <v>11</v>
      </c>
      <c r="K126" s="12">
        <v>7</v>
      </c>
      <c r="L126" s="12">
        <v>13</v>
      </c>
      <c r="M126" s="12">
        <v>12</v>
      </c>
      <c r="N126" s="12">
        <v>7</v>
      </c>
      <c r="O126" s="12">
        <v>5</v>
      </c>
      <c r="P126" s="13">
        <v>14</v>
      </c>
      <c r="Q126" s="14">
        <v>10</v>
      </c>
      <c r="R126" s="14">
        <v>5</v>
      </c>
      <c r="S126" s="15">
        <f t="shared" si="22"/>
        <v>125</v>
      </c>
    </row>
    <row r="127" spans="2:19" s="8" customFormat="1" ht="15" thickBot="1">
      <c r="B127" s="9" t="s">
        <v>96</v>
      </c>
      <c r="C127" s="10">
        <v>0</v>
      </c>
      <c r="D127" s="10">
        <v>0</v>
      </c>
      <c r="E127" s="11">
        <v>0</v>
      </c>
      <c r="F127" s="12">
        <v>1</v>
      </c>
      <c r="G127" s="12">
        <v>9</v>
      </c>
      <c r="H127" s="12">
        <v>12</v>
      </c>
      <c r="I127" s="12">
        <v>11</v>
      </c>
      <c r="J127" s="12">
        <v>5</v>
      </c>
      <c r="K127" s="12">
        <v>9</v>
      </c>
      <c r="L127" s="12">
        <v>16</v>
      </c>
      <c r="M127" s="12">
        <v>5</v>
      </c>
      <c r="N127" s="12">
        <v>16</v>
      </c>
      <c r="O127" s="12">
        <v>11</v>
      </c>
      <c r="P127" s="13">
        <v>9</v>
      </c>
      <c r="Q127" s="14">
        <v>12</v>
      </c>
      <c r="R127" s="14">
        <v>18</v>
      </c>
      <c r="S127" s="15">
        <f t="shared" si="22"/>
        <v>134</v>
      </c>
    </row>
    <row r="128" spans="1:19" ht="15" thickBot="1">
      <c r="A128" s="7"/>
      <c r="B128" s="17" t="s">
        <v>97</v>
      </c>
      <c r="C128" s="18">
        <f>C122+C123+C124+C125+C126+C127</f>
        <v>2</v>
      </c>
      <c r="D128" s="18">
        <f aca="true" t="shared" si="23" ref="D128:S128">D122+D123+D124+D125+D126+D127</f>
        <v>3</v>
      </c>
      <c r="E128" s="19">
        <f t="shared" si="23"/>
        <v>50</v>
      </c>
      <c r="F128" s="18">
        <f t="shared" si="23"/>
        <v>48</v>
      </c>
      <c r="G128" s="18">
        <f t="shared" si="23"/>
        <v>150</v>
      </c>
      <c r="H128" s="18">
        <f t="shared" si="23"/>
        <v>147</v>
      </c>
      <c r="I128" s="18">
        <f t="shared" si="23"/>
        <v>168</v>
      </c>
      <c r="J128" s="18">
        <f t="shared" si="23"/>
        <v>129</v>
      </c>
      <c r="K128" s="18">
        <f t="shared" si="23"/>
        <v>142</v>
      </c>
      <c r="L128" s="18">
        <f t="shared" si="23"/>
        <v>138</v>
      </c>
      <c r="M128" s="18">
        <f t="shared" si="23"/>
        <v>188</v>
      </c>
      <c r="N128" s="18">
        <f t="shared" si="23"/>
        <v>199</v>
      </c>
      <c r="O128" s="18">
        <f t="shared" si="23"/>
        <v>397</v>
      </c>
      <c r="P128" s="19">
        <f t="shared" si="23"/>
        <v>395</v>
      </c>
      <c r="Q128" s="20">
        <f>SUM(Q122:Q127)</f>
        <v>503</v>
      </c>
      <c r="R128" s="20">
        <f>SUM(R122:R127)</f>
        <v>423</v>
      </c>
      <c r="S128" s="22">
        <f t="shared" si="23"/>
        <v>3082</v>
      </c>
    </row>
    <row r="129" spans="2:19" s="8" customFormat="1" ht="15" thickBot="1">
      <c r="B129" s="9" t="s">
        <v>18</v>
      </c>
      <c r="C129" s="35">
        <v>1</v>
      </c>
      <c r="D129" s="35">
        <v>22</v>
      </c>
      <c r="E129" s="36">
        <v>10</v>
      </c>
      <c r="F129" s="12">
        <v>11</v>
      </c>
      <c r="G129" s="12">
        <v>19</v>
      </c>
      <c r="H129" s="12">
        <v>22</v>
      </c>
      <c r="I129" s="12">
        <v>28</v>
      </c>
      <c r="J129" s="12">
        <v>22</v>
      </c>
      <c r="K129" s="12">
        <v>31</v>
      </c>
      <c r="L129" s="12">
        <v>28</v>
      </c>
      <c r="M129" s="12">
        <v>27</v>
      </c>
      <c r="N129" s="12">
        <v>0</v>
      </c>
      <c r="O129" s="12">
        <v>0</v>
      </c>
      <c r="P129" s="13">
        <v>0</v>
      </c>
      <c r="Q129" s="14">
        <v>0</v>
      </c>
      <c r="R129" s="14">
        <v>0</v>
      </c>
      <c r="S129" s="15">
        <f>C129+D129+E129+F129+G129+H129+I129+J129+K129+L129+M129+N129+O129+P129</f>
        <v>221</v>
      </c>
    </row>
    <row r="130" spans="1:19" ht="12" customHeight="1" thickBot="1">
      <c r="A130" s="7"/>
      <c r="B130" s="17" t="s">
        <v>98</v>
      </c>
      <c r="C130" s="18">
        <f>C129</f>
        <v>1</v>
      </c>
      <c r="D130" s="18">
        <f aca="true" t="shared" si="24" ref="D130:S130">D129</f>
        <v>22</v>
      </c>
      <c r="E130" s="19">
        <f t="shared" si="24"/>
        <v>10</v>
      </c>
      <c r="F130" s="18">
        <f t="shared" si="24"/>
        <v>11</v>
      </c>
      <c r="G130" s="18">
        <f t="shared" si="24"/>
        <v>19</v>
      </c>
      <c r="H130" s="18">
        <f t="shared" si="24"/>
        <v>22</v>
      </c>
      <c r="I130" s="18">
        <f t="shared" si="24"/>
        <v>28</v>
      </c>
      <c r="J130" s="18">
        <f t="shared" si="24"/>
        <v>22</v>
      </c>
      <c r="K130" s="18">
        <f t="shared" si="24"/>
        <v>31</v>
      </c>
      <c r="L130" s="18">
        <f t="shared" si="24"/>
        <v>28</v>
      </c>
      <c r="M130" s="18">
        <f t="shared" si="24"/>
        <v>27</v>
      </c>
      <c r="N130" s="18">
        <f t="shared" si="24"/>
        <v>0</v>
      </c>
      <c r="O130" s="18">
        <f t="shared" si="24"/>
        <v>0</v>
      </c>
      <c r="P130" s="19">
        <f t="shared" si="24"/>
        <v>0</v>
      </c>
      <c r="Q130" s="20">
        <v>0</v>
      </c>
      <c r="R130" s="20">
        <f>R129</f>
        <v>0</v>
      </c>
      <c r="S130" s="22">
        <f t="shared" si="24"/>
        <v>221</v>
      </c>
    </row>
    <row r="131" spans="2:19" s="8" customFormat="1" ht="14.25">
      <c r="B131" s="9" t="s">
        <v>19</v>
      </c>
      <c r="C131" s="10">
        <v>1</v>
      </c>
      <c r="D131" s="10">
        <v>0</v>
      </c>
      <c r="E131" s="11">
        <v>25</v>
      </c>
      <c r="F131" s="12">
        <v>11</v>
      </c>
      <c r="G131" s="12">
        <v>77</v>
      </c>
      <c r="H131" s="12">
        <v>101</v>
      </c>
      <c r="I131" s="12">
        <v>95</v>
      </c>
      <c r="J131" s="12">
        <v>122</v>
      </c>
      <c r="K131" s="12">
        <v>123</v>
      </c>
      <c r="L131" s="12">
        <v>133</v>
      </c>
      <c r="M131" s="12">
        <v>150</v>
      </c>
      <c r="N131" s="12">
        <v>198</v>
      </c>
      <c r="O131" s="12">
        <v>276</v>
      </c>
      <c r="P131" s="13">
        <v>374</v>
      </c>
      <c r="Q131" s="14">
        <v>393</v>
      </c>
      <c r="R131" s="14">
        <v>541</v>
      </c>
      <c r="S131" s="15">
        <f>C131+D131+E131+F131+G131+H131+I131+J131+K131+L131+M131+N131+O131+P131+Q131+R131</f>
        <v>2620</v>
      </c>
    </row>
    <row r="132" spans="2:19" s="8" customFormat="1" ht="14.25">
      <c r="B132" s="9" t="s">
        <v>99</v>
      </c>
      <c r="C132" s="10">
        <v>11</v>
      </c>
      <c r="D132" s="10">
        <v>8</v>
      </c>
      <c r="E132" s="11">
        <v>51</v>
      </c>
      <c r="F132" s="12">
        <v>24</v>
      </c>
      <c r="G132" s="12">
        <v>99</v>
      </c>
      <c r="H132" s="12">
        <v>206</v>
      </c>
      <c r="I132" s="12">
        <v>217</v>
      </c>
      <c r="J132" s="12">
        <v>225</v>
      </c>
      <c r="K132" s="12">
        <v>214</v>
      </c>
      <c r="L132" s="12">
        <v>289</v>
      </c>
      <c r="M132" s="12">
        <v>312</v>
      </c>
      <c r="N132" s="12">
        <v>380</v>
      </c>
      <c r="O132" s="12">
        <v>611</v>
      </c>
      <c r="P132" s="13">
        <v>1273</v>
      </c>
      <c r="Q132" s="14">
        <v>805</v>
      </c>
      <c r="R132" s="14">
        <v>770</v>
      </c>
      <c r="S132" s="15">
        <f aca="true" t="shared" si="25" ref="S132:S139">C132+D132+E132+F132+G132+H132+I132+J132+K132+L132+M132+N132+O132+P132+Q132+R132</f>
        <v>5495</v>
      </c>
    </row>
    <row r="133" spans="2:19" s="8" customFormat="1" ht="14.25">
      <c r="B133" s="9" t="s">
        <v>100</v>
      </c>
      <c r="C133" s="10">
        <v>0</v>
      </c>
      <c r="D133" s="10">
        <v>0</v>
      </c>
      <c r="E133" s="11">
        <v>3</v>
      </c>
      <c r="F133" s="12">
        <v>1</v>
      </c>
      <c r="G133" s="12">
        <v>12</v>
      </c>
      <c r="H133" s="12">
        <v>13</v>
      </c>
      <c r="I133" s="12">
        <v>13</v>
      </c>
      <c r="J133" s="12">
        <v>17</v>
      </c>
      <c r="K133" s="12">
        <v>9</v>
      </c>
      <c r="L133" s="12">
        <v>13</v>
      </c>
      <c r="M133" s="12">
        <v>11</v>
      </c>
      <c r="N133" s="12">
        <v>19</v>
      </c>
      <c r="O133" s="12">
        <v>20</v>
      </c>
      <c r="P133" s="13">
        <v>38</v>
      </c>
      <c r="Q133" s="14">
        <v>55</v>
      </c>
      <c r="R133" s="14">
        <v>43</v>
      </c>
      <c r="S133" s="15">
        <f t="shared" si="25"/>
        <v>267</v>
      </c>
    </row>
    <row r="134" spans="2:19" s="8" customFormat="1" ht="14.25">
      <c r="B134" s="9" t="s">
        <v>101</v>
      </c>
      <c r="C134" s="10">
        <v>1</v>
      </c>
      <c r="D134" s="10">
        <v>8</v>
      </c>
      <c r="E134" s="11">
        <v>5</v>
      </c>
      <c r="F134" s="12">
        <v>5</v>
      </c>
      <c r="G134" s="12">
        <v>8</v>
      </c>
      <c r="H134" s="12">
        <v>79</v>
      </c>
      <c r="I134" s="12">
        <v>20</v>
      </c>
      <c r="J134" s="12">
        <v>21</v>
      </c>
      <c r="K134" s="12">
        <v>26</v>
      </c>
      <c r="L134" s="12">
        <v>45</v>
      </c>
      <c r="M134" s="12">
        <v>55</v>
      </c>
      <c r="N134" s="12">
        <v>24</v>
      </c>
      <c r="O134" s="12">
        <v>69</v>
      </c>
      <c r="P134" s="13">
        <v>80</v>
      </c>
      <c r="Q134" s="14">
        <v>134</v>
      </c>
      <c r="R134" s="14">
        <v>110</v>
      </c>
      <c r="S134" s="15">
        <f t="shared" si="25"/>
        <v>690</v>
      </c>
    </row>
    <row r="135" spans="2:19" s="8" customFormat="1" ht="14.25">
      <c r="B135" s="9" t="s">
        <v>102</v>
      </c>
      <c r="C135" s="10">
        <v>0</v>
      </c>
      <c r="D135" s="10">
        <v>0</v>
      </c>
      <c r="E135" s="11">
        <v>0</v>
      </c>
      <c r="F135" s="12">
        <v>0</v>
      </c>
      <c r="G135" s="12">
        <v>0</v>
      </c>
      <c r="H135" s="12">
        <v>74</v>
      </c>
      <c r="I135" s="12">
        <v>18</v>
      </c>
      <c r="J135" s="12">
        <v>12</v>
      </c>
      <c r="K135" s="12">
        <v>21</v>
      </c>
      <c r="L135" s="12">
        <v>27</v>
      </c>
      <c r="M135" s="12">
        <v>25</v>
      </c>
      <c r="N135" s="12">
        <v>32</v>
      </c>
      <c r="O135" s="12">
        <v>57</v>
      </c>
      <c r="P135" s="13">
        <v>63</v>
      </c>
      <c r="Q135" s="14">
        <v>78</v>
      </c>
      <c r="R135" s="14">
        <v>113</v>
      </c>
      <c r="S135" s="15">
        <f t="shared" si="25"/>
        <v>520</v>
      </c>
    </row>
    <row r="136" spans="2:19" s="8" customFormat="1" ht="14.25">
      <c r="B136" s="9" t="s">
        <v>130</v>
      </c>
      <c r="C136" s="10">
        <v>0</v>
      </c>
      <c r="D136" s="10">
        <v>0</v>
      </c>
      <c r="E136" s="11">
        <v>0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2">
        <v>0</v>
      </c>
      <c r="O136" s="12">
        <v>23</v>
      </c>
      <c r="P136" s="13">
        <v>38</v>
      </c>
      <c r="Q136" s="14">
        <v>53</v>
      </c>
      <c r="R136" s="14">
        <v>19</v>
      </c>
      <c r="S136" s="15">
        <f t="shared" si="25"/>
        <v>133</v>
      </c>
    </row>
    <row r="137" spans="2:19" s="8" customFormat="1" ht="28.5">
      <c r="B137" s="9" t="s">
        <v>150</v>
      </c>
      <c r="C137" s="10">
        <v>0</v>
      </c>
      <c r="D137" s="10">
        <v>0</v>
      </c>
      <c r="E137" s="11">
        <v>0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0</v>
      </c>
      <c r="M137" s="12">
        <v>0</v>
      </c>
      <c r="N137" s="12">
        <v>0</v>
      </c>
      <c r="O137" s="12">
        <v>5</v>
      </c>
      <c r="P137" s="13">
        <v>11</v>
      </c>
      <c r="Q137" s="14">
        <v>0</v>
      </c>
      <c r="R137" s="14">
        <v>0</v>
      </c>
      <c r="S137" s="15">
        <f t="shared" si="25"/>
        <v>16</v>
      </c>
    </row>
    <row r="138" spans="2:19" s="8" customFormat="1" ht="14.25">
      <c r="B138" s="9" t="s">
        <v>103</v>
      </c>
      <c r="C138" s="10">
        <v>0</v>
      </c>
      <c r="D138" s="10">
        <v>0</v>
      </c>
      <c r="E138" s="11">
        <v>0</v>
      </c>
      <c r="F138" s="12">
        <v>0</v>
      </c>
      <c r="G138" s="12">
        <v>0</v>
      </c>
      <c r="H138" s="12">
        <v>0</v>
      </c>
      <c r="I138" s="12">
        <v>0</v>
      </c>
      <c r="J138" s="12">
        <v>0</v>
      </c>
      <c r="K138" s="12">
        <v>11</v>
      </c>
      <c r="L138" s="12">
        <v>5</v>
      </c>
      <c r="M138" s="12">
        <v>2</v>
      </c>
      <c r="N138" s="12">
        <v>21</v>
      </c>
      <c r="O138" s="12">
        <v>22</v>
      </c>
      <c r="P138" s="13">
        <v>17</v>
      </c>
      <c r="Q138" s="14">
        <v>31</v>
      </c>
      <c r="R138" s="14">
        <v>12</v>
      </c>
      <c r="S138" s="15">
        <f t="shared" si="25"/>
        <v>121</v>
      </c>
    </row>
    <row r="139" spans="2:19" s="8" customFormat="1" ht="29.25" thickBot="1">
      <c r="B139" s="9" t="s">
        <v>153</v>
      </c>
      <c r="C139" s="10">
        <v>0</v>
      </c>
      <c r="D139" s="10">
        <v>0</v>
      </c>
      <c r="E139" s="11">
        <v>0</v>
      </c>
      <c r="F139" s="12">
        <v>0</v>
      </c>
      <c r="G139" s="12">
        <v>0</v>
      </c>
      <c r="H139" s="12">
        <v>0</v>
      </c>
      <c r="I139" s="12">
        <v>0</v>
      </c>
      <c r="J139" s="12">
        <v>0</v>
      </c>
      <c r="K139" s="12">
        <v>0</v>
      </c>
      <c r="L139" s="12">
        <v>0</v>
      </c>
      <c r="M139" s="12">
        <v>0</v>
      </c>
      <c r="N139" s="12">
        <v>0</v>
      </c>
      <c r="O139" s="12">
        <v>0</v>
      </c>
      <c r="P139" s="13">
        <v>0</v>
      </c>
      <c r="Q139" s="14">
        <v>18</v>
      </c>
      <c r="R139" s="14">
        <v>11</v>
      </c>
      <c r="S139" s="15">
        <f t="shared" si="25"/>
        <v>29</v>
      </c>
    </row>
    <row r="140" spans="1:19" ht="15" thickBot="1">
      <c r="A140" s="7"/>
      <c r="B140" s="17" t="s">
        <v>104</v>
      </c>
      <c r="C140" s="18">
        <f>C131+C132+C133+C134+C135+C136+C137+C139</f>
        <v>13</v>
      </c>
      <c r="D140" s="18">
        <f aca="true" t="shared" si="26" ref="D140:S140">D131+D132+D133+D134+D135+D136+D137+D139</f>
        <v>16</v>
      </c>
      <c r="E140" s="19">
        <f t="shared" si="26"/>
        <v>84</v>
      </c>
      <c r="F140" s="18">
        <f t="shared" si="26"/>
        <v>41</v>
      </c>
      <c r="G140" s="18">
        <f t="shared" si="26"/>
        <v>196</v>
      </c>
      <c r="H140" s="18">
        <f t="shared" si="26"/>
        <v>473</v>
      </c>
      <c r="I140" s="18">
        <f t="shared" si="26"/>
        <v>363</v>
      </c>
      <c r="J140" s="18">
        <f t="shared" si="26"/>
        <v>397</v>
      </c>
      <c r="K140" s="18">
        <f t="shared" si="26"/>
        <v>393</v>
      </c>
      <c r="L140" s="18">
        <f t="shared" si="26"/>
        <v>507</v>
      </c>
      <c r="M140" s="18">
        <f t="shared" si="26"/>
        <v>553</v>
      </c>
      <c r="N140" s="18">
        <f t="shared" si="26"/>
        <v>653</v>
      </c>
      <c r="O140" s="18">
        <f t="shared" si="26"/>
        <v>1061</v>
      </c>
      <c r="P140" s="19">
        <f t="shared" si="26"/>
        <v>1877</v>
      </c>
      <c r="Q140" s="20">
        <f>SUM(Q131:Q139)</f>
        <v>1567</v>
      </c>
      <c r="R140" s="20">
        <f>SUM(R131:R139)</f>
        <v>1619</v>
      </c>
      <c r="S140" s="22">
        <f t="shared" si="26"/>
        <v>9770</v>
      </c>
    </row>
    <row r="141" spans="2:19" s="8" customFormat="1" ht="15" thickBot="1">
      <c r="B141" s="9" t="s">
        <v>137</v>
      </c>
      <c r="C141" s="10">
        <v>46</v>
      </c>
      <c r="D141" s="10">
        <v>29</v>
      </c>
      <c r="E141" s="11">
        <v>74</v>
      </c>
      <c r="F141" s="12">
        <v>46</v>
      </c>
      <c r="G141" s="12">
        <v>118</v>
      </c>
      <c r="H141" s="12">
        <v>219</v>
      </c>
      <c r="I141" s="12">
        <v>152</v>
      </c>
      <c r="J141" s="12">
        <v>113</v>
      </c>
      <c r="K141" s="12">
        <v>168</v>
      </c>
      <c r="L141" s="12">
        <v>173</v>
      </c>
      <c r="M141" s="12">
        <v>251</v>
      </c>
      <c r="N141" s="12">
        <v>250</v>
      </c>
      <c r="O141" s="12">
        <v>405</v>
      </c>
      <c r="P141" s="13">
        <v>264</v>
      </c>
      <c r="Q141" s="14">
        <v>454</v>
      </c>
      <c r="R141" s="14">
        <v>454</v>
      </c>
      <c r="S141" s="15">
        <f>C141+D141+E141+F141+G141+H141+I141+J141+K141+L141+M141+N141+O141+P141+Q141</f>
        <v>2762</v>
      </c>
    </row>
    <row r="142" spans="2:19" s="8" customFormat="1" ht="15" thickBot="1">
      <c r="B142" s="17" t="s">
        <v>138</v>
      </c>
      <c r="C142" s="18">
        <f>C141</f>
        <v>46</v>
      </c>
      <c r="D142" s="18">
        <f aca="true" t="shared" si="27" ref="D142:S142">D141</f>
        <v>29</v>
      </c>
      <c r="E142" s="19">
        <f t="shared" si="27"/>
        <v>74</v>
      </c>
      <c r="F142" s="18">
        <f t="shared" si="27"/>
        <v>46</v>
      </c>
      <c r="G142" s="18">
        <f t="shared" si="27"/>
        <v>118</v>
      </c>
      <c r="H142" s="18">
        <f t="shared" si="27"/>
        <v>219</v>
      </c>
      <c r="I142" s="18">
        <f t="shared" si="27"/>
        <v>152</v>
      </c>
      <c r="J142" s="18">
        <f t="shared" si="27"/>
        <v>113</v>
      </c>
      <c r="K142" s="18">
        <f t="shared" si="27"/>
        <v>168</v>
      </c>
      <c r="L142" s="18">
        <f t="shared" si="27"/>
        <v>173</v>
      </c>
      <c r="M142" s="18">
        <f t="shared" si="27"/>
        <v>251</v>
      </c>
      <c r="N142" s="18">
        <f t="shared" si="27"/>
        <v>250</v>
      </c>
      <c r="O142" s="18">
        <f t="shared" si="27"/>
        <v>405</v>
      </c>
      <c r="P142" s="19">
        <f t="shared" si="27"/>
        <v>264</v>
      </c>
      <c r="Q142" s="20">
        <v>454</v>
      </c>
      <c r="R142" s="20">
        <f>R141</f>
        <v>454</v>
      </c>
      <c r="S142" s="22">
        <f t="shared" si="27"/>
        <v>2762</v>
      </c>
    </row>
    <row r="143" spans="2:19" s="8" customFormat="1" ht="14.25">
      <c r="B143" s="9" t="s">
        <v>124</v>
      </c>
      <c r="C143" s="10">
        <v>18</v>
      </c>
      <c r="D143" s="10">
        <v>7</v>
      </c>
      <c r="E143" s="11">
        <v>93</v>
      </c>
      <c r="F143" s="12">
        <v>72</v>
      </c>
      <c r="G143" s="12">
        <v>145</v>
      </c>
      <c r="H143" s="12">
        <v>218</v>
      </c>
      <c r="I143" s="12">
        <v>467</v>
      </c>
      <c r="J143" s="12">
        <v>144</v>
      </c>
      <c r="K143" s="12">
        <v>290</v>
      </c>
      <c r="L143" s="12">
        <v>221</v>
      </c>
      <c r="M143" s="12">
        <v>162</v>
      </c>
      <c r="N143" s="12">
        <v>251</v>
      </c>
      <c r="O143" s="12">
        <v>301</v>
      </c>
      <c r="P143" s="13">
        <v>380</v>
      </c>
      <c r="Q143" s="14">
        <v>327</v>
      </c>
      <c r="R143" s="14">
        <v>227</v>
      </c>
      <c r="S143" s="15">
        <f>C143+D143+E143+F143+G143+H143+I143+J143+K143+L143+M143+N143+O143+P143+Q143+R143</f>
        <v>3323</v>
      </c>
    </row>
    <row r="144" spans="2:19" s="8" customFormat="1" ht="15" thickBot="1">
      <c r="B144" s="9" t="s">
        <v>105</v>
      </c>
      <c r="C144" s="10">
        <v>1</v>
      </c>
      <c r="D144" s="10">
        <v>0</v>
      </c>
      <c r="E144" s="11">
        <v>103</v>
      </c>
      <c r="F144" s="12">
        <v>53</v>
      </c>
      <c r="G144" s="12">
        <v>97</v>
      </c>
      <c r="H144" s="12">
        <v>40</v>
      </c>
      <c r="I144" s="12">
        <v>13</v>
      </c>
      <c r="J144" s="12">
        <v>62</v>
      </c>
      <c r="K144" s="12">
        <v>34</v>
      </c>
      <c r="L144" s="12">
        <v>173</v>
      </c>
      <c r="M144" s="12">
        <v>37</v>
      </c>
      <c r="N144" s="12">
        <v>48</v>
      </c>
      <c r="O144" s="12">
        <v>45</v>
      </c>
      <c r="P144" s="13">
        <v>62</v>
      </c>
      <c r="Q144" s="14">
        <v>98</v>
      </c>
      <c r="R144" s="14">
        <v>80</v>
      </c>
      <c r="S144" s="15">
        <f>C144+D144+E144+F144+G144+H144+I144+J144+K144+L144+M144+N144+O144+P144+Q144+R144</f>
        <v>946</v>
      </c>
    </row>
    <row r="145" spans="2:19" s="8" customFormat="1" ht="12.75" customHeight="1" thickBot="1">
      <c r="B145" s="17" t="s">
        <v>147</v>
      </c>
      <c r="C145" s="18">
        <f>C143+C144</f>
        <v>19</v>
      </c>
      <c r="D145" s="18">
        <f aca="true" t="shared" si="28" ref="D145:S145">D143+D144</f>
        <v>7</v>
      </c>
      <c r="E145" s="19">
        <f t="shared" si="28"/>
        <v>196</v>
      </c>
      <c r="F145" s="18">
        <f t="shared" si="28"/>
        <v>125</v>
      </c>
      <c r="G145" s="18">
        <f t="shared" si="28"/>
        <v>242</v>
      </c>
      <c r="H145" s="18">
        <f t="shared" si="28"/>
        <v>258</v>
      </c>
      <c r="I145" s="18">
        <f t="shared" si="28"/>
        <v>480</v>
      </c>
      <c r="J145" s="18">
        <f t="shared" si="28"/>
        <v>206</v>
      </c>
      <c r="K145" s="18">
        <f t="shared" si="28"/>
        <v>324</v>
      </c>
      <c r="L145" s="18">
        <f t="shared" si="28"/>
        <v>394</v>
      </c>
      <c r="M145" s="18">
        <f t="shared" si="28"/>
        <v>199</v>
      </c>
      <c r="N145" s="18">
        <f t="shared" si="28"/>
        <v>299</v>
      </c>
      <c r="O145" s="18">
        <f t="shared" si="28"/>
        <v>346</v>
      </c>
      <c r="P145" s="19">
        <f t="shared" si="28"/>
        <v>442</v>
      </c>
      <c r="Q145" s="20">
        <f>SUM(Q143:Q144)</f>
        <v>425</v>
      </c>
      <c r="R145" s="20">
        <f>SUM(R143:R144)</f>
        <v>307</v>
      </c>
      <c r="S145" s="22">
        <f t="shared" si="28"/>
        <v>4269</v>
      </c>
    </row>
    <row r="146" spans="2:19" s="8" customFormat="1" ht="15.75" customHeight="1">
      <c r="B146" s="9" t="s">
        <v>21</v>
      </c>
      <c r="C146" s="10">
        <v>1</v>
      </c>
      <c r="D146" s="10">
        <v>0</v>
      </c>
      <c r="E146" s="11">
        <v>11</v>
      </c>
      <c r="F146" s="12">
        <v>11</v>
      </c>
      <c r="G146" s="12">
        <v>19</v>
      </c>
      <c r="H146" s="12">
        <v>27</v>
      </c>
      <c r="I146" s="12">
        <v>30</v>
      </c>
      <c r="J146" s="12">
        <v>19</v>
      </c>
      <c r="K146" s="12">
        <v>22</v>
      </c>
      <c r="L146" s="12">
        <v>20</v>
      </c>
      <c r="M146" s="12">
        <v>42</v>
      </c>
      <c r="N146" s="12">
        <v>39</v>
      </c>
      <c r="O146" s="12">
        <v>47</v>
      </c>
      <c r="P146" s="13">
        <v>41</v>
      </c>
      <c r="Q146" s="14">
        <v>54</v>
      </c>
      <c r="R146" s="14">
        <v>43</v>
      </c>
      <c r="S146" s="15">
        <f>C146+D146+E146+F146+G146+H146+I146+J146+K146+L146+M146+N146+O146+P146+Q146+R146</f>
        <v>426</v>
      </c>
    </row>
    <row r="147" spans="2:19" s="8" customFormat="1" ht="28.5">
      <c r="B147" s="9" t="s">
        <v>106</v>
      </c>
      <c r="C147" s="10">
        <v>0</v>
      </c>
      <c r="D147" s="10">
        <v>0</v>
      </c>
      <c r="E147" s="11">
        <v>1</v>
      </c>
      <c r="F147" s="12">
        <v>2</v>
      </c>
      <c r="G147" s="12">
        <v>5</v>
      </c>
      <c r="H147" s="12">
        <v>9</v>
      </c>
      <c r="I147" s="12">
        <v>7</v>
      </c>
      <c r="J147" s="12">
        <v>6</v>
      </c>
      <c r="K147" s="12">
        <v>9</v>
      </c>
      <c r="L147" s="12">
        <v>4</v>
      </c>
      <c r="M147" s="12">
        <v>6</v>
      </c>
      <c r="N147" s="12">
        <v>6</v>
      </c>
      <c r="O147" s="12">
        <v>7</v>
      </c>
      <c r="P147" s="13">
        <v>9</v>
      </c>
      <c r="Q147" s="14">
        <v>12</v>
      </c>
      <c r="R147" s="14">
        <v>7</v>
      </c>
      <c r="S147" s="15">
        <f>C147+D147+E147+F147+G147+H147+I147+J147+K147+L147+M147+N147+O147+P147+Q147+R147</f>
        <v>90</v>
      </c>
    </row>
    <row r="148" spans="2:19" s="8" customFormat="1" ht="15" thickBot="1">
      <c r="B148" s="9" t="s">
        <v>107</v>
      </c>
      <c r="C148" s="10">
        <v>0</v>
      </c>
      <c r="D148" s="10">
        <v>0</v>
      </c>
      <c r="E148" s="11">
        <v>0</v>
      </c>
      <c r="F148" s="12">
        <v>0</v>
      </c>
      <c r="G148" s="12">
        <v>2</v>
      </c>
      <c r="H148" s="12">
        <v>8</v>
      </c>
      <c r="I148" s="12">
        <v>9</v>
      </c>
      <c r="J148" s="12">
        <v>5</v>
      </c>
      <c r="K148" s="12">
        <v>7</v>
      </c>
      <c r="L148" s="12">
        <v>5</v>
      </c>
      <c r="M148" s="12">
        <v>2</v>
      </c>
      <c r="N148" s="12">
        <v>4</v>
      </c>
      <c r="O148" s="12">
        <v>3</v>
      </c>
      <c r="P148" s="13">
        <v>8</v>
      </c>
      <c r="Q148" s="14">
        <v>11</v>
      </c>
      <c r="R148" s="14">
        <v>5</v>
      </c>
      <c r="S148" s="15">
        <f>C148+D148+E148+F148+G148+H148+I148+J148+K148+L148+M148+N148+O148+P148+Q148+R148</f>
        <v>69</v>
      </c>
    </row>
    <row r="149" spans="1:19" ht="15" thickBot="1">
      <c r="A149" s="7"/>
      <c r="B149" s="17" t="s">
        <v>108</v>
      </c>
      <c r="C149" s="18">
        <f>C146+C147+C148</f>
        <v>1</v>
      </c>
      <c r="D149" s="18">
        <f aca="true" t="shared" si="29" ref="D149:S149">D146+D147+D148</f>
        <v>0</v>
      </c>
      <c r="E149" s="19">
        <f t="shared" si="29"/>
        <v>12</v>
      </c>
      <c r="F149" s="18">
        <f t="shared" si="29"/>
        <v>13</v>
      </c>
      <c r="G149" s="18">
        <f t="shared" si="29"/>
        <v>26</v>
      </c>
      <c r="H149" s="18">
        <f t="shared" si="29"/>
        <v>44</v>
      </c>
      <c r="I149" s="18">
        <f t="shared" si="29"/>
        <v>46</v>
      </c>
      <c r="J149" s="18">
        <f t="shared" si="29"/>
        <v>30</v>
      </c>
      <c r="K149" s="18">
        <f t="shared" si="29"/>
        <v>38</v>
      </c>
      <c r="L149" s="18">
        <f t="shared" si="29"/>
        <v>29</v>
      </c>
      <c r="M149" s="18">
        <f t="shared" si="29"/>
        <v>50</v>
      </c>
      <c r="N149" s="18">
        <f t="shared" si="29"/>
        <v>49</v>
      </c>
      <c r="O149" s="18">
        <f t="shared" si="29"/>
        <v>57</v>
      </c>
      <c r="P149" s="19">
        <f t="shared" si="29"/>
        <v>58</v>
      </c>
      <c r="Q149" s="20">
        <f>SUM(Q146:Q148)</f>
        <v>77</v>
      </c>
      <c r="R149" s="20">
        <f>SUM(R146:R148)</f>
        <v>55</v>
      </c>
      <c r="S149" s="22">
        <f t="shared" si="29"/>
        <v>585</v>
      </c>
    </row>
    <row r="150" spans="2:19" s="8" customFormat="1" ht="15" thickBot="1">
      <c r="B150" s="9" t="s">
        <v>22</v>
      </c>
      <c r="C150" s="10">
        <v>29</v>
      </c>
      <c r="D150" s="10">
        <v>57</v>
      </c>
      <c r="E150" s="11">
        <v>125</v>
      </c>
      <c r="F150" s="12">
        <v>72</v>
      </c>
      <c r="G150" s="12">
        <v>538</v>
      </c>
      <c r="H150" s="12">
        <v>305</v>
      </c>
      <c r="I150" s="12">
        <v>340</v>
      </c>
      <c r="J150" s="12">
        <v>385</v>
      </c>
      <c r="K150" s="12">
        <v>411</v>
      </c>
      <c r="L150" s="12">
        <v>418</v>
      </c>
      <c r="M150" s="12">
        <v>587</v>
      </c>
      <c r="N150" s="12">
        <v>574</v>
      </c>
      <c r="O150" s="12">
        <v>47</v>
      </c>
      <c r="P150" s="13">
        <v>0</v>
      </c>
      <c r="Q150" s="14">
        <v>0</v>
      </c>
      <c r="R150" s="14">
        <v>0</v>
      </c>
      <c r="S150" s="15">
        <f>C150+D150+E150+F150+G150+H150+I150+J150+K150+L150+M150+N150+O150+P150</f>
        <v>3888</v>
      </c>
    </row>
    <row r="151" spans="1:19" ht="15" thickBot="1">
      <c r="A151" s="7"/>
      <c r="B151" s="17" t="s">
        <v>109</v>
      </c>
      <c r="C151" s="18">
        <f>C150</f>
        <v>29</v>
      </c>
      <c r="D151" s="18">
        <f aca="true" t="shared" si="30" ref="D151:S151">D150</f>
        <v>57</v>
      </c>
      <c r="E151" s="19">
        <f t="shared" si="30"/>
        <v>125</v>
      </c>
      <c r="F151" s="18">
        <f t="shared" si="30"/>
        <v>72</v>
      </c>
      <c r="G151" s="18">
        <f t="shared" si="30"/>
        <v>538</v>
      </c>
      <c r="H151" s="18">
        <f t="shared" si="30"/>
        <v>305</v>
      </c>
      <c r="I151" s="18">
        <f t="shared" si="30"/>
        <v>340</v>
      </c>
      <c r="J151" s="18">
        <f t="shared" si="30"/>
        <v>385</v>
      </c>
      <c r="K151" s="18">
        <f t="shared" si="30"/>
        <v>411</v>
      </c>
      <c r="L151" s="18">
        <f t="shared" si="30"/>
        <v>418</v>
      </c>
      <c r="M151" s="18">
        <f t="shared" si="30"/>
        <v>587</v>
      </c>
      <c r="N151" s="18">
        <f t="shared" si="30"/>
        <v>574</v>
      </c>
      <c r="O151" s="18">
        <f t="shared" si="30"/>
        <v>47</v>
      </c>
      <c r="P151" s="19">
        <f t="shared" si="30"/>
        <v>0</v>
      </c>
      <c r="Q151" s="20">
        <v>0</v>
      </c>
      <c r="R151" s="20">
        <f>0</f>
        <v>0</v>
      </c>
      <c r="S151" s="22">
        <f t="shared" si="30"/>
        <v>3888</v>
      </c>
    </row>
    <row r="152" spans="2:19" s="8" customFormat="1" ht="14.25">
      <c r="B152" s="9" t="s">
        <v>122</v>
      </c>
      <c r="C152" s="10">
        <v>0</v>
      </c>
      <c r="D152" s="10">
        <v>0</v>
      </c>
      <c r="E152" s="11">
        <v>0</v>
      </c>
      <c r="F152" s="12">
        <v>0</v>
      </c>
      <c r="G152" s="12">
        <v>0</v>
      </c>
      <c r="H152" s="12">
        <v>0</v>
      </c>
      <c r="I152" s="12">
        <v>0</v>
      </c>
      <c r="J152" s="12">
        <v>0</v>
      </c>
      <c r="K152" s="12">
        <v>0</v>
      </c>
      <c r="L152" s="12">
        <v>0</v>
      </c>
      <c r="M152" s="12">
        <v>49</v>
      </c>
      <c r="N152" s="12">
        <v>76</v>
      </c>
      <c r="O152" s="12">
        <v>253</v>
      </c>
      <c r="P152" s="13">
        <v>220</v>
      </c>
      <c r="Q152" s="14">
        <v>203</v>
      </c>
      <c r="R152" s="14">
        <v>99</v>
      </c>
      <c r="S152" s="15">
        <f>C152+D152+E152+F152+G152+H152+I152+J152+K152+L152+M152+N152+O152+P152+Q152+R152</f>
        <v>900</v>
      </c>
    </row>
    <row r="153" spans="2:19" s="8" customFormat="1" ht="15" thickBot="1">
      <c r="B153" s="9" t="s">
        <v>160</v>
      </c>
      <c r="C153" s="10">
        <v>0</v>
      </c>
      <c r="D153" s="10">
        <v>0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v>0</v>
      </c>
      <c r="L153" s="10">
        <v>0</v>
      </c>
      <c r="M153" s="10">
        <v>0</v>
      </c>
      <c r="N153" s="10">
        <v>0</v>
      </c>
      <c r="O153" s="10">
        <v>0</v>
      </c>
      <c r="P153" s="10">
        <v>0</v>
      </c>
      <c r="Q153" s="10">
        <v>0</v>
      </c>
      <c r="R153" s="14">
        <v>54</v>
      </c>
      <c r="S153" s="15">
        <v>54</v>
      </c>
    </row>
    <row r="154" spans="1:19" ht="14.25">
      <c r="A154" s="7"/>
      <c r="B154" s="37" t="s">
        <v>123</v>
      </c>
      <c r="C154" s="38">
        <f>C152:C152</f>
        <v>0</v>
      </c>
      <c r="D154" s="38">
        <f aca="true" t="shared" si="31" ref="D154:O154">D152:D152</f>
        <v>0</v>
      </c>
      <c r="E154" s="39">
        <f t="shared" si="31"/>
        <v>0</v>
      </c>
      <c r="F154" s="38">
        <f t="shared" si="31"/>
        <v>0</v>
      </c>
      <c r="G154" s="38">
        <f t="shared" si="31"/>
        <v>0</v>
      </c>
      <c r="H154" s="38">
        <f t="shared" si="31"/>
        <v>0</v>
      </c>
      <c r="I154" s="38">
        <f t="shared" si="31"/>
        <v>0</v>
      </c>
      <c r="J154" s="38">
        <f t="shared" si="31"/>
        <v>0</v>
      </c>
      <c r="K154" s="38">
        <f t="shared" si="31"/>
        <v>0</v>
      </c>
      <c r="L154" s="38">
        <f t="shared" si="31"/>
        <v>0</v>
      </c>
      <c r="M154" s="38">
        <f t="shared" si="31"/>
        <v>49</v>
      </c>
      <c r="N154" s="38">
        <f t="shared" si="31"/>
        <v>76</v>
      </c>
      <c r="O154" s="38">
        <f t="shared" si="31"/>
        <v>253</v>
      </c>
      <c r="P154" s="39">
        <v>250</v>
      </c>
      <c r="Q154" s="40">
        <v>203</v>
      </c>
      <c r="R154" s="40">
        <f>R152+R153</f>
        <v>153</v>
      </c>
      <c r="S154" s="41">
        <f>S152+S153</f>
        <v>954</v>
      </c>
    </row>
    <row r="155" spans="2:19" s="8" customFormat="1" ht="14.25">
      <c r="B155" s="42" t="s">
        <v>148</v>
      </c>
      <c r="C155" s="43">
        <v>0</v>
      </c>
      <c r="D155" s="43">
        <v>0</v>
      </c>
      <c r="E155" s="43">
        <v>0</v>
      </c>
      <c r="F155" s="44">
        <v>0</v>
      </c>
      <c r="G155" s="44">
        <v>0</v>
      </c>
      <c r="H155" s="44">
        <v>0</v>
      </c>
      <c r="I155" s="44">
        <v>0</v>
      </c>
      <c r="J155" s="44">
        <v>0</v>
      </c>
      <c r="K155" s="44">
        <v>0</v>
      </c>
      <c r="L155" s="44">
        <v>0</v>
      </c>
      <c r="M155" s="44">
        <v>0</v>
      </c>
      <c r="N155" s="44">
        <v>0</v>
      </c>
      <c r="O155" s="44">
        <v>93</v>
      </c>
      <c r="P155" s="44">
        <v>251</v>
      </c>
      <c r="Q155" s="44">
        <v>212</v>
      </c>
      <c r="R155" s="44">
        <v>208</v>
      </c>
      <c r="S155" s="45">
        <f>C155+D155+E155+F155+G155+H155+I155+J155+K155+L155+M155+N155+O155+P155+Q155+R155</f>
        <v>764</v>
      </c>
    </row>
    <row r="156" spans="2:19" s="8" customFormat="1" ht="14.25">
      <c r="B156" s="42" t="s">
        <v>111</v>
      </c>
      <c r="C156" s="43">
        <v>0</v>
      </c>
      <c r="D156" s="43">
        <v>0</v>
      </c>
      <c r="E156" s="43">
        <v>0</v>
      </c>
      <c r="F156" s="44">
        <v>10</v>
      </c>
      <c r="G156" s="44">
        <v>21</v>
      </c>
      <c r="H156" s="44">
        <v>50</v>
      </c>
      <c r="I156" s="44">
        <v>40</v>
      </c>
      <c r="J156" s="44">
        <v>28</v>
      </c>
      <c r="K156" s="44">
        <v>48</v>
      </c>
      <c r="L156" s="44">
        <v>43</v>
      </c>
      <c r="M156" s="44">
        <v>49</v>
      </c>
      <c r="N156" s="44">
        <v>97</v>
      </c>
      <c r="O156" s="44">
        <v>89</v>
      </c>
      <c r="P156" s="44">
        <v>82</v>
      </c>
      <c r="Q156" s="44">
        <v>125</v>
      </c>
      <c r="R156" s="44">
        <v>87</v>
      </c>
      <c r="S156" s="45">
        <f>C156+D156+E156+F156+G156+H156+I156+J156+K156+L156+M156+N156+O156+P156+Q156+R156</f>
        <v>769</v>
      </c>
    </row>
    <row r="157" spans="2:19" s="8" customFormat="1" ht="14.25">
      <c r="B157" s="46" t="s">
        <v>149</v>
      </c>
      <c r="C157" s="47">
        <f aca="true" t="shared" si="32" ref="C157:L157">C155+C156</f>
        <v>0</v>
      </c>
      <c r="D157" s="47">
        <f t="shared" si="32"/>
        <v>0</v>
      </c>
      <c r="E157" s="47">
        <f t="shared" si="32"/>
        <v>0</v>
      </c>
      <c r="F157" s="47">
        <f t="shared" si="32"/>
        <v>10</v>
      </c>
      <c r="G157" s="47">
        <f t="shared" si="32"/>
        <v>21</v>
      </c>
      <c r="H157" s="47">
        <f t="shared" si="32"/>
        <v>50</v>
      </c>
      <c r="I157" s="47">
        <f t="shared" si="32"/>
        <v>40</v>
      </c>
      <c r="J157" s="47">
        <f t="shared" si="32"/>
        <v>28</v>
      </c>
      <c r="K157" s="47">
        <f t="shared" si="32"/>
        <v>48</v>
      </c>
      <c r="L157" s="47">
        <f t="shared" si="32"/>
        <v>43</v>
      </c>
      <c r="M157" s="47">
        <f aca="true" t="shared" si="33" ref="M157:R157">M155+M156</f>
        <v>49</v>
      </c>
      <c r="N157" s="47">
        <f t="shared" si="33"/>
        <v>97</v>
      </c>
      <c r="O157" s="47">
        <f t="shared" si="33"/>
        <v>182</v>
      </c>
      <c r="P157" s="47">
        <f t="shared" si="33"/>
        <v>333</v>
      </c>
      <c r="Q157" s="47">
        <f t="shared" si="33"/>
        <v>337</v>
      </c>
      <c r="R157" s="47">
        <f t="shared" si="33"/>
        <v>295</v>
      </c>
      <c r="S157" s="48">
        <f>S153+S154</f>
        <v>1008</v>
      </c>
    </row>
    <row r="158" spans="2:19" s="8" customFormat="1" ht="14.25">
      <c r="B158" s="42" t="s">
        <v>161</v>
      </c>
      <c r="C158" s="44">
        <v>0</v>
      </c>
      <c r="D158" s="44">
        <v>0</v>
      </c>
      <c r="E158" s="44">
        <v>0</v>
      </c>
      <c r="F158" s="44">
        <v>0</v>
      </c>
      <c r="G158" s="44">
        <v>0</v>
      </c>
      <c r="H158" s="44">
        <v>0</v>
      </c>
      <c r="I158" s="44">
        <v>0</v>
      </c>
      <c r="J158" s="44">
        <v>0</v>
      </c>
      <c r="K158" s="44">
        <v>0</v>
      </c>
      <c r="L158" s="44">
        <v>0</v>
      </c>
      <c r="M158" s="44">
        <v>0</v>
      </c>
      <c r="N158" s="44">
        <v>0</v>
      </c>
      <c r="O158" s="44">
        <v>0</v>
      </c>
      <c r="P158" s="44">
        <v>0</v>
      </c>
      <c r="Q158" s="44">
        <v>0</v>
      </c>
      <c r="R158" s="44">
        <v>31</v>
      </c>
      <c r="S158" s="45">
        <v>31</v>
      </c>
    </row>
    <row r="159" spans="1:19" ht="15" thickBot="1">
      <c r="A159" s="7"/>
      <c r="B159" s="49" t="s">
        <v>162</v>
      </c>
      <c r="C159" s="50">
        <f>C155+C156</f>
        <v>0</v>
      </c>
      <c r="D159" s="50">
        <f>D155+D156</f>
        <v>0</v>
      </c>
      <c r="E159" s="51">
        <f>E155+E156</f>
        <v>0</v>
      </c>
      <c r="F159" s="50">
        <v>0</v>
      </c>
      <c r="G159" s="50">
        <v>0</v>
      </c>
      <c r="H159" s="50">
        <v>0</v>
      </c>
      <c r="I159" s="50">
        <v>0</v>
      </c>
      <c r="J159" s="50">
        <v>0</v>
      </c>
      <c r="K159" s="50">
        <v>0</v>
      </c>
      <c r="L159" s="50">
        <v>0</v>
      </c>
      <c r="M159" s="50">
        <v>0</v>
      </c>
      <c r="N159" s="50">
        <v>0</v>
      </c>
      <c r="O159" s="50">
        <v>0</v>
      </c>
      <c r="P159" s="51">
        <v>0</v>
      </c>
      <c r="Q159" s="52">
        <v>0</v>
      </c>
      <c r="R159" s="52">
        <f>R158</f>
        <v>31</v>
      </c>
      <c r="S159" s="53">
        <f>S158</f>
        <v>31</v>
      </c>
    </row>
    <row r="160" spans="2:19" s="8" customFormat="1" ht="15" thickBot="1">
      <c r="B160" s="9" t="s">
        <v>23</v>
      </c>
      <c r="C160" s="10">
        <v>0</v>
      </c>
      <c r="D160" s="10">
        <v>0</v>
      </c>
      <c r="E160" s="11">
        <v>0</v>
      </c>
      <c r="F160" s="12">
        <v>12</v>
      </c>
      <c r="G160" s="12">
        <v>26</v>
      </c>
      <c r="H160" s="12">
        <v>20</v>
      </c>
      <c r="I160" s="12">
        <v>60</v>
      </c>
      <c r="J160" s="12">
        <v>73</v>
      </c>
      <c r="K160" s="12">
        <v>88</v>
      </c>
      <c r="L160" s="12">
        <v>37</v>
      </c>
      <c r="M160" s="12">
        <v>59</v>
      </c>
      <c r="N160" s="12">
        <v>73</v>
      </c>
      <c r="O160" s="12">
        <v>48</v>
      </c>
      <c r="P160" s="13">
        <v>0</v>
      </c>
      <c r="Q160" s="14">
        <v>0</v>
      </c>
      <c r="R160" s="14">
        <v>0</v>
      </c>
      <c r="S160" s="15">
        <f>C160+D160+E160+F160+G160+H160+I160+J160+K160+L160+M160+N160+O160+P160</f>
        <v>496</v>
      </c>
    </row>
    <row r="161" spans="1:19" ht="15" thickBot="1">
      <c r="A161" s="7"/>
      <c r="B161" s="17" t="s">
        <v>110</v>
      </c>
      <c r="C161" s="18">
        <f>C160</f>
        <v>0</v>
      </c>
      <c r="D161" s="18">
        <f aca="true" t="shared" si="34" ref="D161:S161">D160</f>
        <v>0</v>
      </c>
      <c r="E161" s="19">
        <f t="shared" si="34"/>
        <v>0</v>
      </c>
      <c r="F161" s="18">
        <f t="shared" si="34"/>
        <v>12</v>
      </c>
      <c r="G161" s="18">
        <f t="shared" si="34"/>
        <v>26</v>
      </c>
      <c r="H161" s="18">
        <f t="shared" si="34"/>
        <v>20</v>
      </c>
      <c r="I161" s="18">
        <f t="shared" si="34"/>
        <v>60</v>
      </c>
      <c r="J161" s="18">
        <f t="shared" si="34"/>
        <v>73</v>
      </c>
      <c r="K161" s="18">
        <f t="shared" si="34"/>
        <v>88</v>
      </c>
      <c r="L161" s="18">
        <f t="shared" si="34"/>
        <v>37</v>
      </c>
      <c r="M161" s="18">
        <f t="shared" si="34"/>
        <v>59</v>
      </c>
      <c r="N161" s="18">
        <f t="shared" si="34"/>
        <v>73</v>
      </c>
      <c r="O161" s="18">
        <f t="shared" si="34"/>
        <v>48</v>
      </c>
      <c r="P161" s="19">
        <f t="shared" si="34"/>
        <v>0</v>
      </c>
      <c r="Q161" s="20">
        <v>0</v>
      </c>
      <c r="R161" s="20">
        <f>R160</f>
        <v>0</v>
      </c>
      <c r="S161" s="22">
        <f t="shared" si="34"/>
        <v>496</v>
      </c>
    </row>
    <row r="162" spans="2:19" s="8" customFormat="1" ht="15" thickBot="1">
      <c r="B162" s="9" t="s">
        <v>24</v>
      </c>
      <c r="C162" s="10">
        <v>0</v>
      </c>
      <c r="D162" s="10">
        <v>0</v>
      </c>
      <c r="E162" s="11">
        <v>0</v>
      </c>
      <c r="F162" s="12">
        <v>0</v>
      </c>
      <c r="G162" s="12">
        <v>0</v>
      </c>
      <c r="H162" s="12">
        <v>0</v>
      </c>
      <c r="I162" s="12">
        <v>0</v>
      </c>
      <c r="J162" s="12">
        <v>0</v>
      </c>
      <c r="K162" s="12">
        <v>32</v>
      </c>
      <c r="L162" s="12">
        <v>110</v>
      </c>
      <c r="M162" s="12">
        <v>78</v>
      </c>
      <c r="N162" s="12">
        <v>125</v>
      </c>
      <c r="O162" s="12">
        <v>177</v>
      </c>
      <c r="P162" s="13">
        <v>0</v>
      </c>
      <c r="Q162" s="14">
        <v>0</v>
      </c>
      <c r="R162" s="14">
        <v>0</v>
      </c>
      <c r="S162" s="15">
        <f>C162+D162+E162+F162+G162+H162+I162+J162+K162+L162+M162+N162+O162+P162</f>
        <v>522</v>
      </c>
    </row>
    <row r="163" spans="2:19" s="1" customFormat="1" ht="15" thickBot="1">
      <c r="B163" s="17" t="s">
        <v>112</v>
      </c>
      <c r="C163" s="18">
        <f>C162</f>
        <v>0</v>
      </c>
      <c r="D163" s="18">
        <f aca="true" t="shared" si="35" ref="D163:S164">D162</f>
        <v>0</v>
      </c>
      <c r="E163" s="19">
        <f t="shared" si="35"/>
        <v>0</v>
      </c>
      <c r="F163" s="18">
        <f t="shared" si="35"/>
        <v>0</v>
      </c>
      <c r="G163" s="18">
        <f t="shared" si="35"/>
        <v>0</v>
      </c>
      <c r="H163" s="18">
        <f t="shared" si="35"/>
        <v>0</v>
      </c>
      <c r="I163" s="18">
        <f t="shared" si="35"/>
        <v>0</v>
      </c>
      <c r="J163" s="18">
        <f t="shared" si="35"/>
        <v>0</v>
      </c>
      <c r="K163" s="18">
        <f t="shared" si="35"/>
        <v>32</v>
      </c>
      <c r="L163" s="18">
        <v>115</v>
      </c>
      <c r="M163" s="18">
        <v>80</v>
      </c>
      <c r="N163" s="18">
        <f t="shared" si="35"/>
        <v>125</v>
      </c>
      <c r="O163" s="18">
        <f t="shared" si="35"/>
        <v>177</v>
      </c>
      <c r="P163" s="19">
        <f t="shared" si="35"/>
        <v>0</v>
      </c>
      <c r="Q163" s="20">
        <v>0</v>
      </c>
      <c r="R163" s="20">
        <f>R162</f>
        <v>0</v>
      </c>
      <c r="S163" s="22">
        <f t="shared" si="35"/>
        <v>522</v>
      </c>
    </row>
    <row r="164" spans="2:19" s="8" customFormat="1" ht="15" thickBot="1">
      <c r="B164" s="29" t="s">
        <v>151</v>
      </c>
      <c r="C164" s="54">
        <f>C163</f>
        <v>0</v>
      </c>
      <c r="D164" s="54">
        <f t="shared" si="35"/>
        <v>0</v>
      </c>
      <c r="E164" s="55">
        <f t="shared" si="35"/>
        <v>0</v>
      </c>
      <c r="F164" s="56">
        <f t="shared" si="35"/>
        <v>0</v>
      </c>
      <c r="G164" s="56">
        <f t="shared" si="35"/>
        <v>0</v>
      </c>
      <c r="H164" s="56">
        <f t="shared" si="35"/>
        <v>0</v>
      </c>
      <c r="I164" s="56">
        <f t="shared" si="35"/>
        <v>0</v>
      </c>
      <c r="J164" s="56">
        <f t="shared" si="35"/>
        <v>0</v>
      </c>
      <c r="K164" s="56">
        <v>0</v>
      </c>
      <c r="L164" s="56">
        <v>0</v>
      </c>
      <c r="M164" s="56">
        <v>0</v>
      </c>
      <c r="N164" s="56">
        <v>0</v>
      </c>
      <c r="O164" s="56">
        <v>0</v>
      </c>
      <c r="P164" s="57">
        <f t="shared" si="35"/>
        <v>0</v>
      </c>
      <c r="Q164" s="58">
        <v>132</v>
      </c>
      <c r="R164" s="58">
        <v>94</v>
      </c>
      <c r="S164" s="59">
        <f>C164+D164+E164+F164+G164+H164+I164+J164+K164+L164+M164+N164+O164+P164+Q164+R164</f>
        <v>226</v>
      </c>
    </row>
    <row r="165" spans="2:20" s="1" customFormat="1" ht="22.5" customHeight="1">
      <c r="B165" s="60" t="s">
        <v>2</v>
      </c>
      <c r="C165" s="61">
        <f aca="true" t="shared" si="36" ref="C165:Q165">C13+C15+C23+C25+C35+C37+C39+C46+C93+C100+C102+C105+C109+C112+C114+C121+C128+C130+C140+C142+C145+C149+C151+C154+C157+C159+C161+C163+C164</f>
        <v>322</v>
      </c>
      <c r="D165" s="61">
        <f t="shared" si="36"/>
        <v>359</v>
      </c>
      <c r="E165" s="61">
        <f t="shared" si="36"/>
        <v>1601</v>
      </c>
      <c r="F165" s="61">
        <f t="shared" si="36"/>
        <v>2276</v>
      </c>
      <c r="G165" s="61">
        <f t="shared" si="36"/>
        <v>4165</v>
      </c>
      <c r="H165" s="61">
        <f t="shared" si="36"/>
        <v>4603</v>
      </c>
      <c r="I165" s="61">
        <f t="shared" si="36"/>
        <v>4946</v>
      </c>
      <c r="J165" s="61">
        <f t="shared" si="36"/>
        <v>4805</v>
      </c>
      <c r="K165" s="61">
        <f t="shared" si="36"/>
        <v>5360</v>
      </c>
      <c r="L165" s="61">
        <f t="shared" si="36"/>
        <v>6754</v>
      </c>
      <c r="M165" s="61">
        <f t="shared" si="36"/>
        <v>6257</v>
      </c>
      <c r="N165" s="61">
        <f t="shared" si="36"/>
        <v>7722</v>
      </c>
      <c r="O165" s="61">
        <f t="shared" si="36"/>
        <v>10707</v>
      </c>
      <c r="P165" s="61">
        <f t="shared" si="36"/>
        <v>13450</v>
      </c>
      <c r="Q165" s="61">
        <f t="shared" si="36"/>
        <v>16137</v>
      </c>
      <c r="R165" s="61">
        <f>R164+R163+R161+R159+R157+R154+R151+R149+R145+R142+R140+R130+R128+R121+R114+R112+R109+R105+R102+R100+R93+R46+R39+R37+R35+R25+R23+R15+R13</f>
        <v>11511</v>
      </c>
      <c r="S165" s="61">
        <f>C165+D165+E165+F165+G165+H165+I165+J165+K165+L165+M165+N165+O165+P165+Q165+R165</f>
        <v>100975</v>
      </c>
      <c r="T165" s="62"/>
    </row>
    <row r="166" spans="2:19" s="63" customFormat="1" ht="14.25">
      <c r="B166" s="64" t="s">
        <v>165</v>
      </c>
      <c r="C166" s="65"/>
      <c r="D166" s="65"/>
      <c r="E166" s="66"/>
      <c r="F166" s="66"/>
      <c r="G166" s="65"/>
      <c r="H166" s="65"/>
      <c r="I166" s="65"/>
      <c r="J166" s="65"/>
      <c r="K166" s="65"/>
      <c r="L166" s="1"/>
      <c r="M166" s="1"/>
      <c r="N166" s="62"/>
      <c r="O166" s="62">
        <f>SUM(O155:O156)</f>
        <v>182</v>
      </c>
      <c r="P166" s="67"/>
      <c r="Q166" s="67"/>
      <c r="R166" s="67"/>
      <c r="S166" s="67"/>
    </row>
    <row r="167" spans="2:19" s="1" customFormat="1" ht="14.25">
      <c r="B167" s="68" t="s">
        <v>166</v>
      </c>
      <c r="C167" s="65"/>
      <c r="D167" s="65"/>
      <c r="E167" s="66"/>
      <c r="F167" s="66"/>
      <c r="G167" s="65"/>
      <c r="H167" s="65"/>
      <c r="I167" s="65"/>
      <c r="J167" s="65"/>
      <c r="K167" s="65"/>
      <c r="P167" s="63"/>
      <c r="Q167" s="63"/>
      <c r="R167" s="63"/>
      <c r="S167" s="63"/>
    </row>
  </sheetData>
  <sheetProtection/>
  <mergeCells count="4">
    <mergeCell ref="B4:S4"/>
    <mergeCell ref="B5:S5"/>
    <mergeCell ref="B6:S6"/>
    <mergeCell ref="B7:S7"/>
  </mergeCells>
  <printOptions horizontalCentered="1"/>
  <pageMargins left="0.3937007874015748" right="0.3937007874015748" top="0.3937007874015748" bottom="0.3937007874015748" header="0.31496062992125984" footer="0.31496062992125984"/>
  <pageSetup fitToHeight="2" fitToWidth="1" horizontalDpi="600" verticalDpi="600" orientation="portrait" scale="54" r:id="rId2"/>
  <rowBreaks count="1" manualBreakCount="1">
    <brk id="109" min="1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Hector</dc:creator>
  <cp:keywords/>
  <dc:description/>
  <cp:lastModifiedBy>UIPPE</cp:lastModifiedBy>
  <cp:lastPrinted>2021-03-23T01:39:01Z</cp:lastPrinted>
  <dcterms:created xsi:type="dcterms:W3CDTF">2015-04-16T02:50:33Z</dcterms:created>
  <dcterms:modified xsi:type="dcterms:W3CDTF">2021-03-23T01:39:11Z</dcterms:modified>
  <cp:category/>
  <cp:version/>
  <cp:contentType/>
  <cp:contentStatus/>
</cp:coreProperties>
</file>